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2" windowWidth="7356" windowHeight="7860" tabRatio="666"/>
  </bookViews>
  <sheets>
    <sheet name="Main" sheetId="2" r:id="rId1"/>
    <sheet name="Conversion tools" sheetId="5" r:id="rId2"/>
    <sheet name="Floor Bounce Effects" sheetId="8" r:id="rId3"/>
    <sheet name="Common filter rates" sheetId="7" r:id="rId4"/>
    <sheet name="Woofer volume" sheetId="9" r:id="rId5"/>
    <sheet name="Notes" sheetId="6" r:id="rId6"/>
    <sheet name="c" sheetId="3" r:id="rId7"/>
  </sheets>
  <definedNames>
    <definedName name="bt">'c'!$D$2</definedName>
    <definedName name="d">'c'!$B$5</definedName>
    <definedName name="ft">'c'!$A$2</definedName>
    <definedName name="h">'c'!$C$5</definedName>
    <definedName name="_xlnm.Print_Area" localSheetId="0">Main!$B$1:$N$66</definedName>
    <definedName name="rt">'c'!$B$2</definedName>
    <definedName name="SoS">'Conversion tools'!$D$11</definedName>
    <definedName name="st">'c'!$E$2</definedName>
    <definedName name="tt">'c'!$C$2</definedName>
    <definedName name="w">'c'!$A$5</definedName>
  </definedNames>
  <calcPr calcId="125725"/>
</workbook>
</file>

<file path=xl/calcChain.xml><?xml version="1.0" encoding="utf-8"?>
<calcChain xmlns="http://schemas.openxmlformats.org/spreadsheetml/2006/main">
  <c r="G19" i="2"/>
  <c r="G20"/>
  <c r="B156" i="3" s="1"/>
  <c r="E156" s="1"/>
  <c r="G18" i="2"/>
  <c r="B10" i="3" s="1"/>
  <c r="C18" i="2"/>
  <c r="E9"/>
  <c r="I8" s="1"/>
  <c r="F60" i="5"/>
  <c r="B11" i="8"/>
  <c r="E11"/>
  <c r="F11" s="1"/>
  <c r="B12"/>
  <c r="E12"/>
  <c r="F12"/>
  <c r="B13"/>
  <c r="E13" s="1"/>
  <c r="B14"/>
  <c r="E14" s="1"/>
  <c r="B10"/>
  <c r="E10"/>
  <c r="F10" s="1"/>
  <c r="O20" i="2"/>
  <c r="B10" i="9"/>
  <c r="D10" s="1"/>
  <c r="D16" s="1"/>
  <c r="B11"/>
  <c r="D11"/>
  <c r="B14"/>
  <c r="B15" s="1"/>
  <c r="D15" s="1"/>
  <c r="D14"/>
  <c r="B13"/>
  <c r="D13" s="1"/>
  <c r="B12"/>
  <c r="D12" s="1"/>
  <c r="B7"/>
  <c r="D7" s="1"/>
  <c r="B8"/>
  <c r="D8" s="1"/>
  <c r="B16"/>
  <c r="B25"/>
  <c r="B22"/>
  <c r="B9"/>
  <c r="D9" s="1"/>
  <c r="F59" i="5"/>
  <c r="H59"/>
  <c r="D62" s="1"/>
  <c r="D68"/>
  <c r="C69"/>
  <c r="C70"/>
  <c r="D67"/>
  <c r="C81"/>
  <c r="C82"/>
  <c r="C83"/>
  <c r="C84"/>
  <c r="C85"/>
  <c r="C86"/>
  <c r="C87"/>
  <c r="C88"/>
  <c r="C89"/>
  <c r="C90"/>
  <c r="C80"/>
  <c r="F80"/>
  <c r="H80" s="1"/>
  <c r="F81"/>
  <c r="H81" s="1"/>
  <c r="F82"/>
  <c r="H82" s="1"/>
  <c r="F83"/>
  <c r="H83" s="1"/>
  <c r="F85"/>
  <c r="H85" s="1"/>
  <c r="F86"/>
  <c r="H86" s="1"/>
  <c r="F87"/>
  <c r="H87" s="1"/>
  <c r="F88"/>
  <c r="H88" s="1"/>
  <c r="F89"/>
  <c r="H89" s="1"/>
  <c r="F90"/>
  <c r="H90" s="1"/>
  <c r="F84"/>
  <c r="H84" s="1"/>
  <c r="E81"/>
  <c r="E82"/>
  <c r="E83"/>
  <c r="E84"/>
  <c r="E85"/>
  <c r="E86"/>
  <c r="E87"/>
  <c r="E88"/>
  <c r="E89"/>
  <c r="E90"/>
  <c r="E80"/>
  <c r="C11" i="8"/>
  <c r="C12"/>
  <c r="C13"/>
  <c r="C14"/>
  <c r="C10"/>
  <c r="D30"/>
  <c r="D31" s="1"/>
  <c r="D35"/>
  <c r="E157" i="3"/>
  <c r="H60" i="5"/>
  <c r="D18" i="2"/>
  <c r="L65" s="1"/>
  <c r="F67" i="5" s="1"/>
  <c r="D7"/>
  <c r="D61"/>
  <c r="B18" i="2"/>
  <c r="E7" s="1"/>
  <c r="I6" s="1"/>
  <c r="D38" i="5"/>
  <c r="D42" s="1"/>
  <c r="C32"/>
  <c r="C31"/>
  <c r="D28"/>
  <c r="D29" s="1"/>
  <c r="C17"/>
  <c r="C18" s="1"/>
  <c r="C19" s="1"/>
  <c r="D23"/>
  <c r="C24"/>
  <c r="C25" s="1"/>
  <c r="D16"/>
  <c r="D15" i="2"/>
  <c r="G21"/>
  <c r="A2" i="3"/>
  <c r="G75" s="1"/>
  <c r="F64" i="2"/>
  <c r="F65"/>
  <c r="F63"/>
  <c r="L54"/>
  <c r="G54"/>
  <c r="G56" s="1"/>
  <c r="K56" s="1"/>
  <c r="G55"/>
  <c r="K55" s="1"/>
  <c r="G57"/>
  <c r="K57" s="1"/>
  <c r="K54"/>
  <c r="A14" i="3"/>
  <c r="B2"/>
  <c r="C25" s="1"/>
  <c r="H87"/>
  <c r="F85"/>
  <c r="C2"/>
  <c r="C29" s="1"/>
  <c r="E2"/>
  <c r="O34" s="1"/>
  <c r="C14"/>
  <c r="C12"/>
  <c r="A12"/>
  <c r="C8"/>
  <c r="A8"/>
  <c r="C10"/>
  <c r="A10"/>
  <c r="C37"/>
  <c r="B41"/>
  <c r="O31"/>
  <c r="O26"/>
  <c r="O25"/>
  <c r="J8"/>
  <c r="F80"/>
  <c r="I7"/>
  <c r="I8"/>
  <c r="I16"/>
  <c r="B14"/>
  <c r="H137" s="1"/>
  <c r="L34" i="5"/>
  <c r="L33"/>
  <c r="L35" s="1"/>
  <c r="M8"/>
  <c r="M15"/>
  <c r="M19"/>
  <c r="M17"/>
  <c r="M10"/>
  <c r="M6"/>
  <c r="E5"/>
  <c r="A7"/>
  <c r="B5"/>
  <c r="D13" i="2"/>
  <c r="F57" s="1"/>
  <c r="D14"/>
  <c r="B154" i="3"/>
  <c r="G77" l="1"/>
  <c r="H129"/>
  <c r="F56" i="2"/>
  <c r="H121" i="3"/>
  <c r="D2"/>
  <c r="P31" s="1"/>
  <c r="H72"/>
  <c r="C14" i="2"/>
  <c r="B5" i="3"/>
  <c r="G137" s="1"/>
  <c r="K20" i="2"/>
  <c r="K13" s="1"/>
  <c r="H20"/>
  <c r="D65" s="1"/>
  <c r="B12" i="3"/>
  <c r="H111" s="1"/>
  <c r="E65" i="2"/>
  <c r="L21"/>
  <c r="E63"/>
  <c r="B153" i="3"/>
  <c r="E153" s="1"/>
  <c r="B164" s="1"/>
  <c r="H61"/>
  <c r="H64"/>
  <c r="H69"/>
  <c r="C5"/>
  <c r="H76" s="1"/>
  <c r="H86" s="1"/>
  <c r="K18" i="2"/>
  <c r="H18"/>
  <c r="D63" s="1"/>
  <c r="C13"/>
  <c r="D57" s="1"/>
  <c r="K65"/>
  <c r="A5" i="3"/>
  <c r="F138" s="1"/>
  <c r="D20" i="2"/>
  <c r="C20"/>
  <c r="B13"/>
  <c r="E8"/>
  <c r="I7" s="1"/>
  <c r="J65"/>
  <c r="F68" i="5" s="1"/>
  <c r="F54" i="2"/>
  <c r="L19"/>
  <c r="B8" i="3"/>
  <c r="H36" s="1"/>
  <c r="L20" i="2"/>
  <c r="K19"/>
  <c r="K12" s="1"/>
  <c r="E64"/>
  <c r="B155" i="3"/>
  <c r="E155" s="1"/>
  <c r="H19" i="2"/>
  <c r="D64" s="1"/>
  <c r="H52" i="3"/>
  <c r="H53"/>
  <c r="H56"/>
  <c r="H154"/>
  <c r="E154"/>
  <c r="H118"/>
  <c r="H126"/>
  <c r="H134"/>
  <c r="H117"/>
  <c r="H125"/>
  <c r="H133"/>
  <c r="H116"/>
  <c r="H124"/>
  <c r="H132"/>
  <c r="H115"/>
  <c r="H123"/>
  <c r="H131"/>
  <c r="H139"/>
  <c r="H122"/>
  <c r="H130"/>
  <c r="H138"/>
  <c r="H120"/>
  <c r="H128"/>
  <c r="H136"/>
  <c r="H127"/>
  <c r="H119"/>
  <c r="H135"/>
  <c r="D32" i="8"/>
  <c r="D33"/>
  <c r="D34" s="1"/>
  <c r="D36" s="1"/>
  <c r="D15" s="1"/>
  <c r="F134" i="3"/>
  <c r="C20" i="5"/>
  <c r="D19"/>
  <c r="C26"/>
  <c r="D26" s="1"/>
  <c r="D25"/>
  <c r="D17" i="9"/>
  <c r="D20" s="1"/>
  <c r="F14" i="8"/>
  <c r="D18" i="5"/>
  <c r="B35" i="8"/>
  <c r="F13"/>
  <c r="B30"/>
  <c r="B31" s="1"/>
  <c r="B32" s="1"/>
  <c r="I75" i="3"/>
  <c r="D44" i="5"/>
  <c r="D43"/>
  <c r="D64"/>
  <c r="D65" s="1"/>
  <c r="G69"/>
  <c r="G70" s="1"/>
  <c r="D25" i="9"/>
  <c r="D22"/>
  <c r="H49" i="3"/>
  <c r="H71"/>
  <c r="K11" i="2"/>
  <c r="H63" i="3"/>
  <c r="H55"/>
  <c r="H50"/>
  <c r="H66"/>
  <c r="H58"/>
  <c r="G82"/>
  <c r="C21"/>
  <c r="D17" i="5"/>
  <c r="B17" i="9"/>
  <c r="B20" s="1"/>
  <c r="E6" i="2"/>
  <c r="I5" s="1"/>
  <c r="D24" i="5"/>
  <c r="C21" i="2"/>
  <c r="H51" i="3"/>
  <c r="H67"/>
  <c r="H59"/>
  <c r="H70"/>
  <c r="H62"/>
  <c r="H54"/>
  <c r="G76"/>
  <c r="G79"/>
  <c r="H73"/>
  <c r="H65"/>
  <c r="H57"/>
  <c r="F79"/>
  <c r="H68"/>
  <c r="H60"/>
  <c r="F33"/>
  <c r="C33" l="1"/>
  <c r="F55" i="2"/>
  <c r="B165" i="3"/>
  <c r="B166" s="1"/>
  <c r="P20"/>
  <c r="P32"/>
  <c r="P19"/>
  <c r="F95"/>
  <c r="F62"/>
  <c r="J62" s="1"/>
  <c r="F42"/>
  <c r="I42" s="1"/>
  <c r="F116"/>
  <c r="F128"/>
  <c r="F29"/>
  <c r="I29" s="1"/>
  <c r="F46"/>
  <c r="I46" s="1"/>
  <c r="O29"/>
  <c r="G133"/>
  <c r="G122"/>
  <c r="G126"/>
  <c r="G120"/>
  <c r="G130"/>
  <c r="G138"/>
  <c r="J138" s="1"/>
  <c r="G119"/>
  <c r="G80"/>
  <c r="G85" s="1"/>
  <c r="I85" s="1"/>
  <c r="G125"/>
  <c r="G127"/>
  <c r="A29"/>
  <c r="D56" i="2" s="1"/>
  <c r="G118" i="3"/>
  <c r="G129"/>
  <c r="G123"/>
  <c r="G14"/>
  <c r="G15"/>
  <c r="I15" s="1"/>
  <c r="G18"/>
  <c r="G115"/>
  <c r="G132"/>
  <c r="G124"/>
  <c r="G116"/>
  <c r="B37"/>
  <c r="D55" i="2" s="1"/>
  <c r="A33" i="3"/>
  <c r="G134"/>
  <c r="J134" s="1"/>
  <c r="G131"/>
  <c r="G135"/>
  <c r="G128"/>
  <c r="G83"/>
  <c r="G13"/>
  <c r="G139"/>
  <c r="G117"/>
  <c r="G136"/>
  <c r="G121"/>
  <c r="H31"/>
  <c r="D164"/>
  <c r="D165" s="1"/>
  <c r="D166" s="1"/>
  <c r="B169"/>
  <c r="H103"/>
  <c r="H99"/>
  <c r="H93"/>
  <c r="H90"/>
  <c r="H113"/>
  <c r="H101"/>
  <c r="H98"/>
  <c r="H112"/>
  <c r="H92"/>
  <c r="H109"/>
  <c r="H91"/>
  <c r="H100"/>
  <c r="H94"/>
  <c r="H106"/>
  <c r="H107"/>
  <c r="H105"/>
  <c r="H102"/>
  <c r="H89"/>
  <c r="H104"/>
  <c r="H96"/>
  <c r="H110"/>
  <c r="H108"/>
  <c r="H95"/>
  <c r="H97"/>
  <c r="H29"/>
  <c r="H24"/>
  <c r="H23"/>
  <c r="H42"/>
  <c r="H75"/>
  <c r="H85" s="1"/>
  <c r="H79"/>
  <c r="J79" s="1"/>
  <c r="P23"/>
  <c r="H11"/>
  <c r="N10"/>
  <c r="H14"/>
  <c r="H17"/>
  <c r="P14"/>
  <c r="P34"/>
  <c r="A25"/>
  <c r="H83"/>
  <c r="N9"/>
  <c r="P17"/>
  <c r="P10"/>
  <c r="H16"/>
  <c r="J16" s="1"/>
  <c r="P9"/>
  <c r="P29"/>
  <c r="H80"/>
  <c r="H15"/>
  <c r="Q6" i="2"/>
  <c r="R6" s="1"/>
  <c r="A37" i="3"/>
  <c r="E55" i="2" s="1"/>
  <c r="A21" i="3"/>
  <c r="E54" i="2" s="1"/>
  <c r="H7" i="3"/>
  <c r="J7" s="1"/>
  <c r="H82"/>
  <c r="P35"/>
  <c r="H18"/>
  <c r="P22"/>
  <c r="P26"/>
  <c r="F45"/>
  <c r="I45" s="1"/>
  <c r="F129"/>
  <c r="B21"/>
  <c r="D54" i="2" s="1"/>
  <c r="D61" s="1"/>
  <c r="F31" i="3"/>
  <c r="F65"/>
  <c r="J65" s="1"/>
  <c r="F56"/>
  <c r="I56" s="1"/>
  <c r="F125"/>
  <c r="F92"/>
  <c r="I92" s="1"/>
  <c r="F109"/>
  <c r="I109" s="1"/>
  <c r="F90"/>
  <c r="I90" s="1"/>
  <c r="F96"/>
  <c r="I96" s="1"/>
  <c r="F47"/>
  <c r="F60"/>
  <c r="I60" s="1"/>
  <c r="F119"/>
  <c r="F131"/>
  <c r="F24"/>
  <c r="F9"/>
  <c r="J9" s="1"/>
  <c r="F102"/>
  <c r="F100"/>
  <c r="I100" s="1"/>
  <c r="F107"/>
  <c r="F71"/>
  <c r="I71" s="1"/>
  <c r="F26"/>
  <c r="I26" s="1"/>
  <c r="F61"/>
  <c r="J61" s="1"/>
  <c r="F111"/>
  <c r="I111" s="1"/>
  <c r="F67"/>
  <c r="I67" s="1"/>
  <c r="F66"/>
  <c r="J66" s="1"/>
  <c r="F73"/>
  <c r="I73" s="1"/>
  <c r="F104"/>
  <c r="F69"/>
  <c r="J69" s="1"/>
  <c r="F93"/>
  <c r="I93" s="1"/>
  <c r="F36"/>
  <c r="J36" s="1"/>
  <c r="F126"/>
  <c r="F51"/>
  <c r="I51" s="1"/>
  <c r="B29"/>
  <c r="E56" i="2" s="1"/>
  <c r="F132" i="3"/>
  <c r="F122"/>
  <c r="F108"/>
  <c r="F25"/>
  <c r="F105"/>
  <c r="F40"/>
  <c r="I40" s="1"/>
  <c r="F117"/>
  <c r="F123"/>
  <c r="F17"/>
  <c r="F130"/>
  <c r="F112"/>
  <c r="I112" s="1"/>
  <c r="F37"/>
  <c r="I37" s="1"/>
  <c r="F53"/>
  <c r="I53" s="1"/>
  <c r="F97"/>
  <c r="F99"/>
  <c r="I99" s="1"/>
  <c r="F28"/>
  <c r="I28" s="1"/>
  <c r="A17"/>
  <c r="A18" s="1"/>
  <c r="F137"/>
  <c r="J137" s="1"/>
  <c r="O28"/>
  <c r="F27"/>
  <c r="F98"/>
  <c r="I98" s="1"/>
  <c r="F139"/>
  <c r="F50"/>
  <c r="J50" s="1"/>
  <c r="B33"/>
  <c r="F120"/>
  <c r="F82"/>
  <c r="I82" s="1"/>
  <c r="F41"/>
  <c r="I41" s="1"/>
  <c r="F57"/>
  <c r="J57" s="1"/>
  <c r="F101"/>
  <c r="F103"/>
  <c r="I103" s="1"/>
  <c r="F32"/>
  <c r="I32" s="1"/>
  <c r="F52"/>
  <c r="J52" s="1"/>
  <c r="C18"/>
  <c r="F12"/>
  <c r="J12" s="1"/>
  <c r="F77"/>
  <c r="F87" s="1"/>
  <c r="F49"/>
  <c r="J49" s="1"/>
  <c r="F94"/>
  <c r="F14"/>
  <c r="F70"/>
  <c r="J70" s="1"/>
  <c r="O35"/>
  <c r="F124"/>
  <c r="B25"/>
  <c r="F118"/>
  <c r="F113"/>
  <c r="I113" s="1"/>
  <c r="F44"/>
  <c r="F64"/>
  <c r="I64" s="1"/>
  <c r="F127"/>
  <c r="F133"/>
  <c r="F63"/>
  <c r="I63" s="1"/>
  <c r="F43"/>
  <c r="I43" s="1"/>
  <c r="F89"/>
  <c r="I89" s="1"/>
  <c r="F58"/>
  <c r="J58" s="1"/>
  <c r="F38"/>
  <c r="I38" s="1"/>
  <c r="F136"/>
  <c r="O32"/>
  <c r="C17"/>
  <c r="F23"/>
  <c r="F68"/>
  <c r="J68" s="1"/>
  <c r="F135"/>
  <c r="F18"/>
  <c r="F59"/>
  <c r="I59" s="1"/>
  <c r="F39"/>
  <c r="F110"/>
  <c r="F54"/>
  <c r="J54" s="1"/>
  <c r="F34"/>
  <c r="I34" s="1"/>
  <c r="F115"/>
  <c r="M9"/>
  <c r="F13"/>
  <c r="F91"/>
  <c r="I91" s="1"/>
  <c r="F72"/>
  <c r="J72" s="1"/>
  <c r="F83"/>
  <c r="F121"/>
  <c r="F55"/>
  <c r="I55" s="1"/>
  <c r="F35"/>
  <c r="I35" s="1"/>
  <c r="F106"/>
  <c r="M8"/>
  <c r="F30"/>
  <c r="I30" s="1"/>
  <c r="F11"/>
  <c r="F76"/>
  <c r="J76" s="1"/>
  <c r="E57" i="2"/>
  <c r="B14"/>
  <c r="Q7" s="1"/>
  <c r="R7" s="1"/>
  <c r="H40" i="3"/>
  <c r="H34"/>
  <c r="H32"/>
  <c r="H26"/>
  <c r="H43"/>
  <c r="H25"/>
  <c r="H45"/>
  <c r="H27"/>
  <c r="H38"/>
  <c r="H37"/>
  <c r="H33"/>
  <c r="J33" s="1"/>
  <c r="H35"/>
  <c r="H46"/>
  <c r="H44"/>
  <c r="H47"/>
  <c r="H30"/>
  <c r="H41"/>
  <c r="H39"/>
  <c r="H28"/>
  <c r="B26" i="9"/>
  <c r="B23"/>
  <c r="D26"/>
  <c r="F26" s="1"/>
  <c r="D23"/>
  <c r="F23" s="1"/>
  <c r="F20"/>
  <c r="C21" i="5"/>
  <c r="C22" s="1"/>
  <c r="D22" s="1"/>
  <c r="D20"/>
  <c r="I79" i="3"/>
  <c r="B167"/>
  <c r="B168" s="1"/>
  <c r="D169"/>
  <c r="I33"/>
  <c r="I95"/>
  <c r="I62"/>
  <c r="B33" i="8"/>
  <c r="B34" s="1"/>
  <c r="B36" s="1"/>
  <c r="D16" s="1"/>
  <c r="D17" s="1"/>
  <c r="I116" i="3" l="1"/>
  <c r="D167"/>
  <c r="D168" s="1"/>
  <c r="D170" s="1"/>
  <c r="D158" s="1"/>
  <c r="J56"/>
  <c r="B170"/>
  <c r="D159" s="1"/>
  <c r="J95"/>
  <c r="J29"/>
  <c r="J42"/>
  <c r="J46"/>
  <c r="J116"/>
  <c r="I128"/>
  <c r="I55" i="2"/>
  <c r="J122" i="3"/>
  <c r="G86"/>
  <c r="G87" s="1"/>
  <c r="J87" s="1"/>
  <c r="I80"/>
  <c r="J133"/>
  <c r="J117"/>
  <c r="B34"/>
  <c r="J80"/>
  <c r="J85"/>
  <c r="I130"/>
  <c r="I83"/>
  <c r="I120"/>
  <c r="I126"/>
  <c r="J135"/>
  <c r="I118"/>
  <c r="J128"/>
  <c r="I138"/>
  <c r="I119"/>
  <c r="I125"/>
  <c r="I134"/>
  <c r="J129"/>
  <c r="J18"/>
  <c r="J136"/>
  <c r="J127"/>
  <c r="J123"/>
  <c r="I13"/>
  <c r="J15"/>
  <c r="I14"/>
  <c r="J139"/>
  <c r="I121"/>
  <c r="J124"/>
  <c r="J132"/>
  <c r="J115"/>
  <c r="I131"/>
  <c r="J31"/>
  <c r="J23"/>
  <c r="J24"/>
  <c r="J107"/>
  <c r="J106"/>
  <c r="J108"/>
  <c r="J101"/>
  <c r="J97"/>
  <c r="J104"/>
  <c r="J105"/>
  <c r="J102"/>
  <c r="J110"/>
  <c r="J94"/>
  <c r="J25"/>
  <c r="J44"/>
  <c r="J27"/>
  <c r="J47"/>
  <c r="J39"/>
  <c r="J75"/>
  <c r="J11"/>
  <c r="J17"/>
  <c r="B26"/>
  <c r="B38"/>
  <c r="B22"/>
  <c r="J55" i="2"/>
  <c r="I54"/>
  <c r="J54"/>
  <c r="I129" i="3"/>
  <c r="J71"/>
  <c r="I65"/>
  <c r="F86"/>
  <c r="J109"/>
  <c r="J45"/>
  <c r="J90"/>
  <c r="J28"/>
  <c r="J119"/>
  <c r="I9"/>
  <c r="B30"/>
  <c r="J67"/>
  <c r="I136"/>
  <c r="I108"/>
  <c r="I31"/>
  <c r="J60"/>
  <c r="J125"/>
  <c r="J103"/>
  <c r="J99"/>
  <c r="I123"/>
  <c r="I68"/>
  <c r="J96"/>
  <c r="J131"/>
  <c r="I11"/>
  <c r="J43"/>
  <c r="I122"/>
  <c r="I47"/>
  <c r="J120"/>
  <c r="J130"/>
  <c r="J82"/>
  <c r="I23"/>
  <c r="J92"/>
  <c r="I107"/>
  <c r="J91"/>
  <c r="I132"/>
  <c r="J30"/>
  <c r="I44"/>
  <c r="J111"/>
  <c r="J32"/>
  <c r="J14"/>
  <c r="I127"/>
  <c r="I24"/>
  <c r="J64"/>
  <c r="J40"/>
  <c r="I133"/>
  <c r="I72"/>
  <c r="J100"/>
  <c r="I102"/>
  <c r="J83"/>
  <c r="I66"/>
  <c r="J63"/>
  <c r="I117"/>
  <c r="I137"/>
  <c r="J121"/>
  <c r="J112"/>
  <c r="I50"/>
  <c r="I69"/>
  <c r="E19" i="2"/>
  <c r="Q7" i="3"/>
  <c r="Q8" s="1"/>
  <c r="Q9" s="1"/>
  <c r="J73"/>
  <c r="I115"/>
  <c r="J93"/>
  <c r="J55"/>
  <c r="I61"/>
  <c r="I104"/>
  <c r="J126"/>
  <c r="I17"/>
  <c r="J51"/>
  <c r="J26"/>
  <c r="I25"/>
  <c r="I12"/>
  <c r="I70"/>
  <c r="I110"/>
  <c r="J37"/>
  <c r="J41"/>
  <c r="I135"/>
  <c r="I57"/>
  <c r="J89"/>
  <c r="I105"/>
  <c r="J118"/>
  <c r="I39"/>
  <c r="D59" i="2"/>
  <c r="I49" i="3"/>
  <c r="I94"/>
  <c r="I76"/>
  <c r="J35"/>
  <c r="I77"/>
  <c r="I27"/>
  <c r="I36"/>
  <c r="J77"/>
  <c r="I54"/>
  <c r="I52"/>
  <c r="J59"/>
  <c r="I101"/>
  <c r="I58"/>
  <c r="J113"/>
  <c r="I97"/>
  <c r="I106"/>
  <c r="J38"/>
  <c r="J13"/>
  <c r="I124"/>
  <c r="J34"/>
  <c r="J98"/>
  <c r="I139"/>
  <c r="E18" i="2"/>
  <c r="I18" i="3"/>
  <c r="J53"/>
  <c r="I57" i="2"/>
  <c r="J57"/>
  <c r="I56"/>
  <c r="J56"/>
  <c r="D160" i="3" l="1"/>
  <c r="M20" i="2" s="1"/>
  <c r="I86" i="3"/>
  <c r="I87"/>
  <c r="B40"/>
  <c r="G7" i="2" s="1"/>
  <c r="G8" s="1"/>
  <c r="J86" i="3"/>
  <c r="L120"/>
  <c r="L118"/>
  <c r="L115"/>
  <c r="L129"/>
  <c r="L122"/>
  <c r="L125"/>
  <c r="L126"/>
  <c r="I21"/>
  <c r="L133"/>
  <c r="L119"/>
  <c r="L130"/>
  <c r="L139"/>
  <c r="L128"/>
  <c r="L117"/>
  <c r="J21"/>
  <c r="K138" s="1"/>
  <c r="L124"/>
  <c r="L137"/>
  <c r="L116"/>
  <c r="L138"/>
  <c r="L131"/>
  <c r="O7"/>
  <c r="L132"/>
  <c r="L135"/>
  <c r="L121"/>
  <c r="L123"/>
  <c r="L127"/>
  <c r="L136"/>
  <c r="L134"/>
  <c r="O8"/>
  <c r="O9"/>
  <c r="Q10"/>
  <c r="B42" l="1"/>
  <c r="K136"/>
  <c r="K53"/>
  <c r="K75"/>
  <c r="K51"/>
  <c r="K57"/>
  <c r="K98"/>
  <c r="K102"/>
  <c r="K64"/>
  <c r="K125"/>
  <c r="K11"/>
  <c r="K83"/>
  <c r="K54"/>
  <c r="K121"/>
  <c r="K39"/>
  <c r="K80"/>
  <c r="K52"/>
  <c r="K106"/>
  <c r="K131"/>
  <c r="K91"/>
  <c r="K130"/>
  <c r="K55"/>
  <c r="K82"/>
  <c r="K42"/>
  <c r="K95"/>
  <c r="K26"/>
  <c r="K13"/>
  <c r="K105"/>
  <c r="K24"/>
  <c r="K62"/>
  <c r="K119"/>
  <c r="K56"/>
  <c r="K110"/>
  <c r="K67"/>
  <c r="K30"/>
  <c r="K115"/>
  <c r="K126"/>
  <c r="K124"/>
  <c r="K71"/>
  <c r="K122"/>
  <c r="K58"/>
  <c r="K77"/>
  <c r="K66"/>
  <c r="K40"/>
  <c r="K23"/>
  <c r="K86"/>
  <c r="K35"/>
  <c r="K49"/>
  <c r="K46"/>
  <c r="K27"/>
  <c r="K93"/>
  <c r="K37"/>
  <c r="K100"/>
  <c r="K29"/>
  <c r="K36"/>
  <c r="K109"/>
  <c r="K60"/>
  <c r="K17"/>
  <c r="K96"/>
  <c r="K99"/>
  <c r="K92"/>
  <c r="K79"/>
  <c r="K103"/>
  <c r="K68"/>
  <c r="K76"/>
  <c r="K41"/>
  <c r="K135"/>
  <c r="K12"/>
  <c r="K32"/>
  <c r="K116"/>
  <c r="K59"/>
  <c r="K33"/>
  <c r="K90"/>
  <c r="K94"/>
  <c r="K69"/>
  <c r="K137"/>
  <c r="K14"/>
  <c r="K139"/>
  <c r="K85"/>
  <c r="K104"/>
  <c r="K89"/>
  <c r="K108"/>
  <c r="K133"/>
  <c r="K113"/>
  <c r="K72"/>
  <c r="K127"/>
  <c r="K65"/>
  <c r="K63"/>
  <c r="K107"/>
  <c r="K18"/>
  <c r="K134"/>
  <c r="K120"/>
  <c r="K50"/>
  <c r="K9"/>
  <c r="K70"/>
  <c r="K73"/>
  <c r="K123"/>
  <c r="K16"/>
  <c r="K132"/>
  <c r="K15"/>
  <c r="K97"/>
  <c r="K7"/>
  <c r="K45"/>
  <c r="K111"/>
  <c r="K117"/>
  <c r="K47"/>
  <c r="K61"/>
  <c r="K101"/>
  <c r="K43"/>
  <c r="K34"/>
  <c r="K112"/>
  <c r="K128"/>
  <c r="K31"/>
  <c r="K87"/>
  <c r="K28"/>
  <c r="K38"/>
  <c r="K118"/>
  <c r="K44"/>
  <c r="K129"/>
  <c r="K8"/>
  <c r="K25"/>
  <c r="Q11"/>
  <c r="O10"/>
  <c r="K21" l="1"/>
  <c r="I20" s="1"/>
  <c r="K20" s="1"/>
  <c r="Q13"/>
  <c r="O11"/>
  <c r="M13" s="1"/>
  <c r="N13" s="1"/>
  <c r="Q14" l="1"/>
  <c r="O13"/>
  <c r="Q19" l="1"/>
  <c r="O14"/>
  <c r="Q20" l="1"/>
  <c r="O19"/>
  <c r="Q22" l="1"/>
  <c r="O20"/>
  <c r="O22" l="1"/>
  <c r="Q23"/>
  <c r="Q16" l="1"/>
  <c r="O23"/>
  <c r="Q17" l="1"/>
  <c r="O17" s="1"/>
  <c r="O16"/>
</calcChain>
</file>

<file path=xl/comments1.xml><?xml version="1.0" encoding="utf-8"?>
<comments xmlns="http://schemas.openxmlformats.org/spreadsheetml/2006/main">
  <authors>
    <author xml:space="preserve"> </author>
    <author>smithpj</author>
  </authors>
  <commentList>
    <comment ref="G5" authorId="0">
      <text>
        <r>
          <rPr>
            <b/>
            <sz val="8"/>
            <color indexed="81"/>
            <rFont val="Tahoma"/>
          </rPr>
          <t xml:space="preserve"> 0.753 for MDF</t>
        </r>
        <r>
          <rPr>
            <sz val="8"/>
            <color indexed="81"/>
            <rFont val="Tahoma"/>
          </rPr>
          <t xml:space="preserve">
</t>
        </r>
      </text>
    </comment>
    <comment ref="K18" authorId="1">
      <text>
        <r>
          <rPr>
            <b/>
            <sz val="8"/>
            <color indexed="81"/>
            <rFont val="Tahoma"/>
          </rPr>
          <t>Edge of Driver 1 to top of box</t>
        </r>
      </text>
    </comment>
    <comment ref="K19" authorId="1">
      <text>
        <r>
          <rPr>
            <b/>
            <sz val="8"/>
            <color indexed="81"/>
            <rFont val="Tahoma"/>
          </rPr>
          <t>Driver 1 to Driver 2</t>
        </r>
      </text>
    </comment>
    <comment ref="L19" authorId="1">
      <text>
        <r>
          <rPr>
            <b/>
            <sz val="8"/>
            <color indexed="81"/>
            <rFont val="Tahoma"/>
          </rPr>
          <t>Driver 1 to Driver 2 
Crossover should not be less than this between this driver and the next smaller one.</t>
        </r>
      </text>
    </comment>
    <comment ref="B20" authorId="1">
      <text>
        <r>
          <rPr>
            <b/>
            <sz val="8"/>
            <color indexed="81"/>
            <rFont val="Tahoma"/>
          </rPr>
          <t>Golden ratio based on  width.  Remember there are a number of "golden ratios".</t>
        </r>
      </text>
    </comment>
    <comment ref="K20" authorId="1">
      <text>
        <r>
          <rPr>
            <b/>
            <sz val="8"/>
            <color indexed="81"/>
            <rFont val="Tahoma"/>
            <family val="2"/>
          </rPr>
          <t>Driver 2 to Driver 3</t>
        </r>
      </text>
    </comment>
    <comment ref="L20" authorId="1">
      <text>
        <r>
          <rPr>
            <b/>
            <sz val="8"/>
            <color indexed="81"/>
            <rFont val="Tahoma"/>
          </rPr>
          <t>Driver 2 to Driver 3
Crossover should not be less than this between this driver and the next smaller one.</t>
        </r>
      </text>
    </comment>
    <comment ref="M20" authorId="1">
      <text>
        <r>
          <rPr>
            <sz val="10"/>
            <color indexed="81"/>
            <rFont val="Tahoma"/>
            <family val="2"/>
          </rPr>
          <t xml:space="preserve">The midrange to woofer ideal crossover freq, calculating null frequencies due to floor bounce.  
Listening height = Driver 1 height
Also note full calculator for this on the "Floor Bounce Effects" tab.
</t>
        </r>
      </text>
    </comment>
    <comment ref="N20" authorId="1">
      <text>
        <r>
          <rPr>
            <sz val="10"/>
            <color indexed="81"/>
            <rFont val="Tahoma"/>
            <family val="2"/>
          </rPr>
          <t xml:space="preserve">Distance from speaker to listener in inches for the "Crossover Ideal" calculation.  
5' = 60"   = 1.52m
6' = 72"   = 1.83m
7' = 84"   = 2.13m 
8' = 96"   = 2.44m
9' = 108"  = 2.74m
</t>
        </r>
      </text>
    </comment>
    <comment ref="B21" authorId="1">
      <text>
        <r>
          <rPr>
            <b/>
            <sz val="8"/>
            <color indexed="81"/>
            <rFont val="Tahoma"/>
          </rPr>
          <t>1/2 the baffle in Hz</t>
        </r>
        <r>
          <rPr>
            <sz val="8"/>
            <color indexed="81"/>
            <rFont val="Tahoma"/>
          </rPr>
          <t xml:space="preserve">
In theory,where baffle step would begin:  from the center of the driver to the edge of the baffle.</t>
        </r>
      </text>
    </comment>
    <comment ref="L21" authorId="1">
      <text>
        <r>
          <rPr>
            <b/>
            <sz val="8"/>
            <color indexed="81"/>
            <rFont val="Tahoma"/>
          </rPr>
          <t>Driver 1 to Driver 3</t>
        </r>
      </text>
    </comment>
    <comment ref="D52" authorId="1">
      <text>
        <r>
          <rPr>
            <b/>
            <sz val="8"/>
            <color indexed="81"/>
            <rFont val="Tahoma"/>
          </rPr>
          <t xml:space="preserve">Total number of complete speakers needed.  Calculates number of panels. </t>
        </r>
      </text>
    </comment>
    <comment ref="F63" authorId="1">
      <text>
        <r>
          <rPr>
            <sz val="8"/>
            <color indexed="81"/>
            <rFont val="Tahoma"/>
            <family val="2"/>
          </rPr>
          <t xml:space="preserve">Remember to make a left and a right.  </t>
        </r>
      </text>
    </comment>
  </commentList>
</comments>
</file>

<file path=xl/comments2.xml><?xml version="1.0" encoding="utf-8"?>
<comments xmlns="http://schemas.openxmlformats.org/spreadsheetml/2006/main">
  <authors>
    <author>smithpj</author>
  </authors>
  <commentList>
    <comment ref="D11" authorId="0">
      <text>
        <r>
          <rPr>
            <sz val="8"/>
            <color indexed="81"/>
            <rFont val="Tahoma"/>
          </rPr>
          <t xml:space="preserve">1130 is right for most applications
</t>
        </r>
      </text>
    </comment>
    <comment ref="D64" authorId="0">
      <text>
        <r>
          <rPr>
            <b/>
            <sz val="8"/>
            <color indexed="81"/>
            <rFont val="Tahoma"/>
          </rPr>
          <t>Adjust sliders to get this to zero</t>
        </r>
      </text>
    </comment>
    <comment ref="H68" authorId="0">
      <text>
        <r>
          <rPr>
            <sz val="8"/>
            <color indexed="81"/>
            <rFont val="Tahoma"/>
            <family val="2"/>
          </rPr>
          <t xml:space="preserve">As long was we are here, might as well note the amount the port will take, in volume, from the cabinet calculation.
Don't forget to add a little for the mass of the port material.  </t>
        </r>
      </text>
    </comment>
    <comment ref="H75" authorId="0">
      <text>
        <r>
          <rPr>
            <sz val="8"/>
            <color indexed="81"/>
            <rFont val="Tahoma"/>
          </rPr>
          <t xml:space="preserve">
I know someone is going to write me to say this is stupid.  But consider all the work to tune two 7" woofers, the acoustic centers, the cross over, weird alignment issues, amount of crossover components.  Consider this against just buying a larger driver!
</t>
        </r>
      </text>
    </comment>
    <comment ref="D97" authorId="0">
      <text>
        <r>
          <rPr>
            <sz val="8"/>
            <color indexed="81"/>
            <rFont val="Tahoma"/>
            <family val="2"/>
          </rPr>
          <t xml:space="preserve">
Don't write me about this one either.  It is for general understanding of woofer size and range.  
I am sure there are lots of exceptions, esp really cheap woofers and really expensive woofers.  :)
</t>
        </r>
      </text>
    </comment>
    <comment ref="G123" authorId="0">
      <text>
        <r>
          <rPr>
            <sz val="8"/>
            <color indexed="81"/>
            <rFont val="Tahoma"/>
            <family val="2"/>
          </rPr>
          <t xml:space="preserve">This is for general use.  I did not include vertical lines because I don't want people writing to tell me the French tune their basses lower or a really good soprano can go higher.  
Also, all instruments have harmonics above and below the listed ranges.  
</t>
        </r>
      </text>
    </comment>
  </commentList>
</comments>
</file>

<file path=xl/comments3.xml><?xml version="1.0" encoding="utf-8"?>
<comments xmlns="http://schemas.openxmlformats.org/spreadsheetml/2006/main">
  <authors>
    <author>smithpj</author>
  </authors>
  <commentList>
    <comment ref="F9" authorId="0">
      <text>
        <r>
          <rPr>
            <sz val="8"/>
            <color indexed="81"/>
            <rFont val="Tahoma"/>
            <family val="2"/>
          </rPr>
          <t xml:space="preserve">
Yes, we know y'all in the metric world know how to do the math because your schools are so much better than ours, but sometimes it is best to see the visual cue for distance without having to think.  
You are lucky I didn't put this in Arpents or Pyads.  
</t>
        </r>
      </text>
    </comment>
    <comment ref="A14" authorId="0">
      <text>
        <r>
          <rPr>
            <sz val="8"/>
            <color indexed="81"/>
            <rFont val="Tahoma"/>
            <family val="2"/>
          </rPr>
          <t xml:space="preserve">
This is the incremental path length to account for the depth of the woofer's acoustic center compared to the midrange acoustic center.  
An offset of zero means the woofer and midrange are aligned. An offset of +two means the woofer acoustic center is two inches behind the midrange acoustic center." 
</t>
        </r>
      </text>
    </comment>
  </commentList>
</comments>
</file>

<file path=xl/comments4.xml><?xml version="1.0" encoding="utf-8"?>
<comments xmlns="http://schemas.openxmlformats.org/spreadsheetml/2006/main">
  <authors>
    <author>smithpj</author>
  </authors>
  <commentList>
    <comment ref="A20" authorId="0">
      <text>
        <r>
          <rPr>
            <b/>
            <sz val="8"/>
            <color indexed="81"/>
            <rFont val="Tahoma"/>
          </rPr>
          <t>smithpj:</t>
        </r>
        <r>
          <rPr>
            <sz val="8"/>
            <color indexed="81"/>
            <rFont val="Tahoma"/>
          </rPr>
          <t xml:space="preserve">
This would be total driver volume, outside a box in open air.  Also would be the number if mounted behind the baffle.  
</t>
        </r>
      </text>
    </comment>
    <comment ref="A23" authorId="0">
      <text>
        <r>
          <rPr>
            <sz val="8"/>
            <color indexed="81"/>
            <rFont val="Tahoma"/>
          </rPr>
          <t xml:space="preserve">This would be if the driver were mounted on front of the baffle with no flush mount.  </t>
        </r>
      </text>
    </comment>
    <comment ref="A26" authorId="0">
      <text>
        <r>
          <rPr>
            <sz val="8"/>
            <color indexed="81"/>
            <rFont val="Tahoma"/>
          </rPr>
          <t xml:space="preserve">This would be if the driver were mounted on the front of the baffle and flush mounted.  </t>
        </r>
      </text>
    </comment>
  </commentList>
</comments>
</file>

<file path=xl/sharedStrings.xml><?xml version="1.0" encoding="utf-8"?>
<sst xmlns="http://schemas.openxmlformats.org/spreadsheetml/2006/main" count="417" uniqueCount="275">
  <si>
    <t>x</t>
  </si>
  <si>
    <t>y</t>
  </si>
  <si>
    <t>z</t>
  </si>
  <si>
    <t>h</t>
  </si>
  <si>
    <t>xp</t>
  </si>
  <si>
    <t>yp</t>
  </si>
  <si>
    <t>w</t>
  </si>
  <si>
    <t>d</t>
  </si>
  <si>
    <t>ypp</t>
  </si>
  <si>
    <t>3-D</t>
  </si>
  <si>
    <t>Front View</t>
  </si>
  <si>
    <t>Side View</t>
  </si>
  <si>
    <t>side view x-shift</t>
  </si>
  <si>
    <t xml:space="preserve">       </t>
  </si>
  <si>
    <t>bt</t>
  </si>
  <si>
    <t>ft</t>
  </si>
  <si>
    <t>rt</t>
  </si>
  <si>
    <t>tt</t>
  </si>
  <si>
    <t>st</t>
  </si>
  <si>
    <t>lt</t>
  </si>
  <si>
    <t>cu.ft</t>
  </si>
  <si>
    <t>litres</t>
  </si>
  <si>
    <t>Front</t>
  </si>
  <si>
    <t>Volume=</t>
  </si>
  <si>
    <t>Front Panel Dimensions</t>
  </si>
  <si>
    <t>Rear Panel Dimensions</t>
  </si>
  <si>
    <t>Top Panel Dimensions</t>
  </si>
  <si>
    <t>Bottom Panel Dimensions</t>
  </si>
  <si>
    <t>Side Panel Dimensions</t>
  </si>
  <si>
    <t>Total Volume=</t>
  </si>
  <si>
    <t>liters</t>
  </si>
  <si>
    <t>Density of Material</t>
  </si>
  <si>
    <t>Total Weight</t>
  </si>
  <si>
    <t>Width</t>
  </si>
  <si>
    <t>Height</t>
  </si>
  <si>
    <t>Depth</t>
  </si>
  <si>
    <t>Rear</t>
  </si>
  <si>
    <t>Sides</t>
  </si>
  <si>
    <t>Offset</t>
  </si>
  <si>
    <t>Diameter</t>
  </si>
  <si>
    <t>Volume (Internal)</t>
  </si>
  <si>
    <t>Volume (External)</t>
  </si>
  <si>
    <t>gr/cm3</t>
  </si>
  <si>
    <t>kg</t>
  </si>
  <si>
    <t>Side Panels</t>
  </si>
  <si>
    <t>Thickness</t>
  </si>
  <si>
    <t>Boxy Cad</t>
  </si>
  <si>
    <t>Project:</t>
  </si>
  <si>
    <t>Total Sq.ft</t>
  </si>
  <si>
    <t>Bracing</t>
  </si>
  <si>
    <t>Pounds</t>
  </si>
  <si>
    <t>cf^3</t>
  </si>
  <si>
    <t>Liters</t>
  </si>
  <si>
    <t xml:space="preserve">Wave </t>
  </si>
  <si>
    <t>Octaves</t>
  </si>
  <si>
    <t>Hertz</t>
  </si>
  <si>
    <t>Length</t>
  </si>
  <si>
    <t>Feet</t>
  </si>
  <si>
    <t>Inches</t>
  </si>
  <si>
    <t>Qty</t>
  </si>
  <si>
    <t>Top/Bottom Panels</t>
  </si>
  <si>
    <t>Front/Rear Baffles</t>
  </si>
  <si>
    <t>Full length</t>
  </si>
  <si>
    <t>Shelf</t>
  </si>
  <si>
    <t xml:space="preserve">    (5x8 Sheet is 40sq ft - 60"x96")</t>
  </si>
  <si>
    <t>offset</t>
  </si>
  <si>
    <t>Golden ratio &gt;</t>
  </si>
  <si>
    <t>cm</t>
  </si>
  <si>
    <t>Bill of Materials</t>
  </si>
  <si>
    <t>Qty/spkr</t>
  </si>
  <si>
    <t xml:space="preserve">For </t>
  </si>
  <si>
    <t>Speakers</t>
  </si>
  <si>
    <t>Qty  X</t>
  </si>
  <si>
    <t>Long side</t>
  </si>
  <si>
    <t>Top/Bottom</t>
  </si>
  <si>
    <t>Short side</t>
  </si>
  <si>
    <t>Series</t>
  </si>
  <si>
    <t>Parallel</t>
  </si>
  <si>
    <t>1 mH    +    1 mH   =   2 mH</t>
  </si>
  <si>
    <t>3 uf       +    3 uf     =   1.5 uf</t>
  </si>
  <si>
    <t>10 Ohm + 10 Ohm  =  20 Ohm</t>
  </si>
  <si>
    <t>1 mH    +    1 mH   =   .5 mH</t>
  </si>
  <si>
    <t>3 uf       +    3 uf     =   6 uf</t>
  </si>
  <si>
    <t>10 Ohm + 10 Ohm  =  5 Ohm</t>
  </si>
  <si>
    <t xml:space="preserve">  +       Y</t>
  </si>
  <si>
    <t xml:space="preserve"> =    total</t>
  </si>
  <si>
    <t xml:space="preserve">X </t>
  </si>
  <si>
    <t>Inductor</t>
  </si>
  <si>
    <t>Cap</t>
  </si>
  <si>
    <t>Resistor</t>
  </si>
  <si>
    <t xml:space="preserve">        1/8" = .125</t>
  </si>
  <si>
    <t xml:space="preserve">   Total Box Weight</t>
  </si>
  <si>
    <t xml:space="preserve">     Material Density</t>
  </si>
  <si>
    <t xml:space="preserve">      Wall Thickness (Inches)</t>
  </si>
  <si>
    <t xml:space="preserve">      Bracing</t>
  </si>
  <si>
    <t xml:space="preserve">      Outside Box Dimensions (Inches)</t>
  </si>
  <si>
    <t>inches</t>
  </si>
  <si>
    <t>Notes</t>
  </si>
  <si>
    <t>Credits:</t>
  </si>
  <si>
    <t>Feedback:</t>
  </si>
  <si>
    <t>Disclaimer:</t>
  </si>
  <si>
    <t>FOR THE PROGRAM, TO THE EXTENT PERMITTED BY APPLICABLE LAW.  EXCEPT WHEN</t>
  </si>
  <si>
    <t>OTHERWISE STATED IN WRITING THE COPYRIGHT HOLDERS AND/OR OTHER PARTIES</t>
  </si>
  <si>
    <t>PROVIDE THE PROGRAM "AS IS" WITHOUT WARRANTY OF ANY KIND, EITHER EXPRESSED</t>
  </si>
  <si>
    <t>OR IMPLIED, INCLUDING, BUT NOT LIMITED TO, THE IMPLIED WARRANTIES OF</t>
  </si>
  <si>
    <t>MERCHANTABILITY AND FITNESS FOR A PARTICULAR PURPOSE.  THE ENTIRE RISK AS</t>
  </si>
  <si>
    <t>TO THE QUALITY AND PERFORMANCE OF THE PROGRAM IS WITH YOU.  SHOULD THE</t>
  </si>
  <si>
    <t>PROGRAM PROVE DEFECTIVE, YOU ASSUME THE COST OF ALL NECESSARY SERVICING,</t>
  </si>
  <si>
    <t>REPAIR OR CORRECTION.</t>
  </si>
  <si>
    <t>YOU CAN USE THE PROGRAM FREELY BUT THERE IS NO WARRANTY</t>
  </si>
  <si>
    <t xml:space="preserve">     Driver Size and Placement Control</t>
  </si>
  <si>
    <t xml:space="preserve">  Efficiency Conversions</t>
  </si>
  <si>
    <t xml:space="preserve">  Component Conversion</t>
  </si>
  <si>
    <t xml:space="preserve">  Length Converter</t>
  </si>
  <si>
    <t xml:space="preserve"> Volume Converter</t>
  </si>
  <si>
    <t xml:space="preserve">  Frequency Calculator</t>
  </si>
  <si>
    <t># of driver connected in series</t>
  </si>
  <si>
    <t>n</t>
  </si>
  <si>
    <t># of parallel branches</t>
  </si>
  <si>
    <t>m</t>
  </si>
  <si>
    <t>Total Power</t>
  </si>
  <si>
    <t>Total Impedance</t>
  </si>
  <si>
    <t>Impedance of the driver</t>
  </si>
  <si>
    <t>SPL Difference</t>
  </si>
  <si>
    <t>Many thanks to Peter Smith (PJay) for improving the user-friendliness of the interface and adding various tools and features like the conversion tools and driver spacings.</t>
  </si>
  <si>
    <t>Low Pass</t>
  </si>
  <si>
    <t>High Pass</t>
  </si>
  <si>
    <t>Crossover Frequency</t>
  </si>
  <si>
    <t>Inductance mH (milliHenry)</t>
  </si>
  <si>
    <t>Capacitance uF (microFarad)</t>
  </si>
  <si>
    <t>8 Ohms</t>
  </si>
  <si>
    <t>4 Ohms</t>
  </si>
  <si>
    <t>2 Ohms</t>
  </si>
  <si>
    <t>Driver 1</t>
  </si>
  <si>
    <t>Driver 2</t>
  </si>
  <si>
    <t>Driver 3</t>
  </si>
  <si>
    <t>Driver 4</t>
  </si>
  <si>
    <t>drv - drv</t>
  </si>
  <si>
    <t>Relief</t>
  </si>
  <si>
    <t>Acoustic</t>
  </si>
  <si>
    <t>Inside dimensions</t>
  </si>
  <si>
    <t>Centers</t>
  </si>
  <si>
    <t>Baffle Width in Hz &gt;</t>
  </si>
  <si>
    <t xml:space="preserve">   Driver Height</t>
  </si>
  <si>
    <t xml:space="preserve">     Volume</t>
  </si>
  <si>
    <t xml:space="preserve">     Internal</t>
  </si>
  <si>
    <t>Sample Rate/sec:</t>
  </si>
  <si>
    <t>Distance per sample</t>
  </si>
  <si>
    <t>Sample Rate Converter</t>
  </si>
  <si>
    <t>Length in Feet</t>
  </si>
  <si>
    <t>Length in Inches</t>
  </si>
  <si>
    <t>Samples to "echo"</t>
  </si>
  <si>
    <t>This is to convert LspCAD time domain tics into distance and Hertz.  LspCAD time domain tic marks are in samples.  So if you have an "echo" in the time domain, you can calc how far the "echo" is from the mic using this converter.</t>
  </si>
  <si>
    <t>Top</t>
  </si>
  <si>
    <t>Bottom</t>
  </si>
  <si>
    <t xml:space="preserve"> + Kerfs</t>
  </si>
  <si>
    <t>These graphs supplied by www.loundspeakers101.com     Used by permission.</t>
  </si>
  <si>
    <t>shortest side</t>
  </si>
  <si>
    <t>Driver</t>
  </si>
  <si>
    <t>Speed of sound &gt;&gt;</t>
  </si>
  <si>
    <r>
      <t>Hint:</t>
    </r>
    <r>
      <rPr>
        <sz val="10"/>
        <color indexed="62"/>
        <rFont val="Arial"/>
        <family val="2"/>
      </rPr>
      <t xml:space="preserve">  Build the top/bottom/sides as a box and let dry.  Cut the baffles oversize by about 1/2 inch and glue on with overhand on all sides.  Use a flush trim blade to bring the baffles square with the other panels.                                                    </t>
    </r>
  </si>
  <si>
    <t>sq inches</t>
  </si>
  <si>
    <t>Round diameter</t>
  </si>
  <si>
    <t>Round length</t>
  </si>
  <si>
    <t>variance   &gt;&gt;</t>
  </si>
  <si>
    <t>Square area  &gt;&gt;</t>
  </si>
  <si>
    <t>sq cm</t>
  </si>
  <si>
    <t>( 1/2 sheet is 60" x 48" )</t>
  </si>
  <si>
    <t>Port area</t>
  </si>
  <si>
    <t>cubic cm</t>
  </si>
  <si>
    <t>cubic inch</t>
  </si>
  <si>
    <t>Determines the midrange and woofer null frequencies due to floor bounce</t>
  </si>
  <si>
    <t>Calculates the optimum crossover frequency based on driver heights</t>
  </si>
  <si>
    <t>English</t>
  </si>
  <si>
    <t>Metric</t>
  </si>
  <si>
    <t>Listening Ht</t>
  </si>
  <si>
    <t>in</t>
  </si>
  <si>
    <t>mm</t>
  </si>
  <si>
    <t>Listening Dist</t>
  </si>
  <si>
    <t>Midrange Ht</t>
  </si>
  <si>
    <t>Woofer Ht</t>
  </si>
  <si>
    <t>Midrange Fb</t>
  </si>
  <si>
    <t>Hz</t>
  </si>
  <si>
    <t>Woofer Fb</t>
  </si>
  <si>
    <t>Desired Fxo</t>
  </si>
  <si>
    <t>Crossover frequency is the geometric mean of the midrange and woofer floor bounce nulls.</t>
  </si>
  <si>
    <t>v</t>
  </si>
  <si>
    <t>Bnc2</t>
  </si>
  <si>
    <t>P2</t>
  </si>
  <si>
    <t>Bnc1</t>
  </si>
  <si>
    <t>P1</t>
  </si>
  <si>
    <t>D1</t>
  </si>
  <si>
    <t>delta path</t>
  </si>
  <si>
    <t>Crossover</t>
  </si>
  <si>
    <t>Ideal</t>
  </si>
  <si>
    <t>Woofer Offset</t>
  </si>
  <si>
    <t>Inch</t>
  </si>
  <si>
    <t>Listening Height</t>
  </si>
  <si>
    <t>Listening Distance</t>
  </si>
  <si>
    <t>Midrange Height</t>
  </si>
  <si>
    <t>Woofer Height</t>
  </si>
  <si>
    <t>Midrange Floor bounce</t>
  </si>
  <si>
    <t>Woofer Floor bounce</t>
  </si>
  <si>
    <t>This is the same calculation used on the main sheet, but allows adjustment of all parameters</t>
  </si>
  <si>
    <t>Driver 2 to driver 3</t>
  </si>
  <si>
    <t>inch</t>
  </si>
  <si>
    <t>Port length remains constant, round to square.</t>
  </si>
  <si>
    <t>Sq cm</t>
  </si>
  <si>
    <t>Sq inches</t>
  </si>
  <si>
    <t>Area</t>
  </si>
  <si>
    <t>Common</t>
  </si>
  <si>
    <t>Driver Diameters</t>
  </si>
  <si>
    <t>Two drivers</t>
  </si>
  <si>
    <t>This table compares the area of using two small drivers to using one larger driver.</t>
  </si>
  <si>
    <t>From this table, you can see that a 10" has more area than two 7" drivers.</t>
  </si>
  <si>
    <t>Note that square ports may not act similar to round ports due to shape and proximity to internal cabinet edges.</t>
  </si>
  <si>
    <t>Floor Bounce and Crossover Point Calculator</t>
  </si>
  <si>
    <t>Slide</t>
  </si>
  <si>
    <t>Recommended Crossover Frequency</t>
  </si>
  <si>
    <t xml:space="preserve">This calculates diameter area, but not surface area of the piston.  </t>
  </si>
  <si>
    <t>Port Conversion  -  Round to Slot</t>
  </si>
  <si>
    <t>Please report any errors or improvement ideas to yavuzaksan@yahoo.com Or Pjay at Pjay99@aol.com. You are welcome to join us develop this further for the DIY community</t>
  </si>
  <si>
    <t>Liters Vol displaced</t>
  </si>
  <si>
    <t xml:space="preserve">Thanks to Murray Hauschild for putting this page together!  (MGH on the boards) </t>
  </si>
  <si>
    <t>Listening</t>
  </si>
  <si>
    <t>Distance</t>
  </si>
  <si>
    <t>Baffle Thickness</t>
  </si>
  <si>
    <t>Cone Ht</t>
  </si>
  <si>
    <t>Cone Vol</t>
  </si>
  <si>
    <t>Liter</t>
  </si>
  <si>
    <t>cu in</t>
  </si>
  <si>
    <t>Magnet Vol</t>
  </si>
  <si>
    <t>Surface Mount (Vol Gain)</t>
  </si>
  <si>
    <t>Flush Mount (Vol Gain)</t>
  </si>
  <si>
    <t xml:space="preserve">This sheet calculates the total volume of the driver to deduct from the cabinet volume.  </t>
  </si>
  <si>
    <t>Driver Volume Calculator</t>
  </si>
  <si>
    <t>This sheet is not connected/linked to any other tab.</t>
  </si>
  <si>
    <t xml:space="preserve">Driver  &gt;&gt;   </t>
  </si>
  <si>
    <t>Baffle Hole Diameter</t>
  </si>
  <si>
    <t>Driver OD             Dim = A</t>
  </si>
  <si>
    <t>Cone Diameter     Dim = B</t>
  </si>
  <si>
    <t>Driver Height        Dim = C</t>
  </si>
  <si>
    <t>Magnet Diameter  Dim = D</t>
  </si>
  <si>
    <t>Magnet Height      Dim = E</t>
  </si>
  <si>
    <t xml:space="preserve">Basket rim </t>
  </si>
  <si>
    <t>Front Mount Net Displacement</t>
  </si>
  <si>
    <t>Flush Mount Net Displacement</t>
  </si>
  <si>
    <t>cu inch</t>
  </si>
  <si>
    <t>cu feet</t>
  </si>
  <si>
    <t xml:space="preserve">Super duper </t>
  </si>
  <si>
    <t xml:space="preserve">Total Driver Displacement </t>
  </si>
  <si>
    <t>Unlocked work space</t>
  </si>
  <si>
    <t>Version 1.1  6/20/06</t>
  </si>
  <si>
    <t>Meter</t>
  </si>
  <si>
    <t>Woofer Alignment (fwd)</t>
  </si>
  <si>
    <t>Port Volume Deduction</t>
  </si>
  <si>
    <t>General woofer sizing chart</t>
  </si>
  <si>
    <t>Unlocked work area</t>
  </si>
  <si>
    <t>Bottom of page</t>
  </si>
  <si>
    <t>cf^3 Vol displaced</t>
  </si>
  <si>
    <t xml:space="preserve">     inch conversion</t>
  </si>
  <si>
    <t>diameter</t>
  </si>
  <si>
    <t>length</t>
  </si>
  <si>
    <t xml:space="preserve">face area </t>
  </si>
  <si>
    <t>General frequency ranges of common instruments and voice</t>
  </si>
  <si>
    <t>notes</t>
  </si>
  <si>
    <t>Y.Aksan          Peter Smith</t>
  </si>
  <si>
    <t>feet</t>
  </si>
  <si>
    <t xml:space="preserve">Driver 1 center location </t>
  </si>
  <si>
    <t>Driver 2 center location</t>
  </si>
  <si>
    <t>Driver 3 center location</t>
  </si>
  <si>
    <t>from top</t>
  </si>
  <si>
    <t>from bottom</t>
  </si>
  <si>
    <t>Vertical Center Line</t>
  </si>
  <si>
    <t>Bravox Main</t>
  </si>
</sst>
</file>

<file path=xl/styles.xml><?xml version="1.0" encoding="utf-8"?>
<styleSheet xmlns="http://schemas.openxmlformats.org/spreadsheetml/2006/main">
  <numFmts count="20">
    <numFmt numFmtId="169" formatCode="_(* #,##0_);_(* \(#,##0\);_(* &quot;-&quot;_);_(@_)"/>
    <numFmt numFmtId="171" formatCode="_(* #,##0.00_);_(* \(#,##0.00\);_(* &quot;-&quot;??_);_(@_)"/>
    <numFmt numFmtId="172" formatCode="0.0"/>
    <numFmt numFmtId="173" formatCode="0.000"/>
    <numFmt numFmtId="178" formatCode="0.00000000"/>
    <numFmt numFmtId="179" formatCode="#\ ?/8"/>
    <numFmt numFmtId="180" formatCode="_(* #,##0.0_);_(* \(#,##0.0\);_(* &quot;-&quot;?_);_(@_)"/>
    <numFmt numFmtId="181" formatCode="#,##0.0_);\(#,##0.0\)"/>
    <numFmt numFmtId="182" formatCode="_(* #,##0.0_);_(* \(#,##0.0\);_(* &quot;-&quot;??_);_(@_)"/>
    <numFmt numFmtId="183" formatCode="#\ ??/16"/>
    <numFmt numFmtId="191" formatCode="&quot;+&quot;\ 0.0\ &quot;db&quot;"/>
    <numFmt numFmtId="192" formatCode="0.0\ &quot;Ohms&quot;"/>
    <numFmt numFmtId="194" formatCode="&quot;x&quot;\ 0.00"/>
    <numFmt numFmtId="195" formatCode="_(* #,##0_);_(* \(#,##0\);_(* &quot;-&quot;??_);_(@_)"/>
    <numFmt numFmtId="196" formatCode="0.0%"/>
    <numFmt numFmtId="198" formatCode="0.00_)"/>
    <numFmt numFmtId="199" formatCode="0.0_)"/>
    <numFmt numFmtId="200" formatCode="0_)"/>
    <numFmt numFmtId="201" formatCode="_(* #,##0.000_);_(* \(#,##0.000\);_(* &quot;-&quot;??_);_(@_)"/>
    <numFmt numFmtId="202" formatCode="0.000_)"/>
  </numFmts>
  <fonts count="66">
    <font>
      <sz val="10"/>
      <name val="Arial"/>
    </font>
    <font>
      <sz val="10"/>
      <name val="Arial"/>
    </font>
    <font>
      <b/>
      <sz val="10"/>
      <name val="Arial"/>
      <family val="2"/>
    </font>
    <font>
      <sz val="10"/>
      <name val="Arial"/>
      <family val="2"/>
    </font>
    <font>
      <sz val="10"/>
      <color indexed="23"/>
      <name val="Arial"/>
      <family val="2"/>
    </font>
    <font>
      <b/>
      <sz val="10"/>
      <color indexed="9"/>
      <name val="Arial"/>
      <family val="2"/>
    </font>
    <font>
      <sz val="10"/>
      <color indexed="9"/>
      <name val="Arial"/>
      <family val="2"/>
    </font>
    <font>
      <sz val="10"/>
      <color indexed="55"/>
      <name val="Arial"/>
      <family val="2"/>
    </font>
    <font>
      <b/>
      <sz val="10"/>
      <color indexed="17"/>
      <name val="Arial"/>
      <family val="2"/>
    </font>
    <font>
      <b/>
      <sz val="10"/>
      <color indexed="10"/>
      <name val="Arial"/>
      <family val="2"/>
    </font>
    <font>
      <b/>
      <sz val="16"/>
      <name val="Arial"/>
      <family val="2"/>
    </font>
    <font>
      <b/>
      <sz val="8"/>
      <color indexed="81"/>
      <name val="Tahoma"/>
    </font>
    <font>
      <sz val="8"/>
      <color indexed="81"/>
      <name val="Tahoma"/>
    </font>
    <font>
      <b/>
      <sz val="8"/>
      <color indexed="81"/>
      <name val="Tahoma"/>
      <family val="2"/>
    </font>
    <font>
      <b/>
      <sz val="11"/>
      <color indexed="17"/>
      <name val="Arial"/>
      <family val="2"/>
    </font>
    <font>
      <b/>
      <sz val="12"/>
      <color indexed="9"/>
      <name val="Arial"/>
      <family val="2"/>
    </font>
    <font>
      <b/>
      <sz val="16"/>
      <color indexed="8"/>
      <name val="Arial"/>
      <family val="2"/>
    </font>
    <font>
      <b/>
      <sz val="12"/>
      <name val="Arial"/>
      <family val="2"/>
    </font>
    <font>
      <sz val="11"/>
      <name val="Arial"/>
      <family val="2"/>
    </font>
    <font>
      <sz val="10"/>
      <color indexed="22"/>
      <name val="Arial"/>
    </font>
    <font>
      <b/>
      <sz val="10"/>
      <color indexed="22"/>
      <name val="Arial"/>
      <family val="2"/>
    </font>
    <font>
      <sz val="8"/>
      <color indexed="10"/>
      <name val="Arial"/>
      <family val="2"/>
    </font>
    <font>
      <sz val="10"/>
      <color indexed="23"/>
      <name val="Arial"/>
    </font>
    <font>
      <sz val="10"/>
      <color indexed="22"/>
      <name val="Arial"/>
      <family val="2"/>
    </font>
    <font>
      <sz val="10"/>
      <name val="Arial Unicode MS"/>
    </font>
    <font>
      <sz val="10"/>
      <color indexed="62"/>
      <name val="Arial"/>
      <family val="2"/>
    </font>
    <font>
      <b/>
      <sz val="18"/>
      <color indexed="43"/>
      <name val="Comic Sans MS"/>
      <family val="4"/>
    </font>
    <font>
      <b/>
      <sz val="11"/>
      <name val="Arial"/>
      <family val="2"/>
    </font>
    <font>
      <b/>
      <sz val="12"/>
      <color indexed="17"/>
      <name val="Arial"/>
      <family val="2"/>
    </font>
    <font>
      <sz val="10"/>
      <color indexed="26"/>
      <name val="Arial"/>
      <family val="2"/>
    </font>
    <font>
      <b/>
      <sz val="10"/>
      <color indexed="26"/>
      <name val="Comic Sans MS"/>
      <family val="4"/>
    </font>
    <font>
      <sz val="12"/>
      <color indexed="26"/>
      <name val="Comic Sans MS"/>
      <family val="4"/>
    </font>
    <font>
      <b/>
      <sz val="14"/>
      <color indexed="26"/>
      <name val="Arial"/>
      <family val="2"/>
    </font>
    <font>
      <b/>
      <sz val="12"/>
      <color indexed="26"/>
      <name val="Arial"/>
      <family val="2"/>
    </font>
    <font>
      <b/>
      <sz val="10"/>
      <color indexed="26"/>
      <name val="Arial"/>
      <family val="2"/>
    </font>
    <font>
      <sz val="12"/>
      <color indexed="26"/>
      <name val="Arial"/>
      <family val="2"/>
    </font>
    <font>
      <b/>
      <sz val="12"/>
      <color indexed="62"/>
      <name val="Arial"/>
      <family val="2"/>
    </font>
    <font>
      <b/>
      <sz val="18"/>
      <color indexed="26"/>
      <name val="Comic Sans MS"/>
      <family val="4"/>
    </font>
    <font>
      <sz val="9"/>
      <color indexed="43"/>
      <name val="Arial"/>
      <family val="2"/>
    </font>
    <font>
      <b/>
      <sz val="10"/>
      <color indexed="62"/>
      <name val="Arial"/>
      <family val="2"/>
    </font>
    <font>
      <sz val="10"/>
      <color indexed="62"/>
      <name val="Arial"/>
    </font>
    <font>
      <b/>
      <sz val="11"/>
      <color indexed="10"/>
      <name val="Arial"/>
      <family val="2"/>
    </font>
    <font>
      <sz val="11"/>
      <color indexed="55"/>
      <name val="Arial"/>
      <family val="2"/>
    </font>
    <font>
      <sz val="11"/>
      <color indexed="17"/>
      <name val="Arial"/>
      <family val="2"/>
    </font>
    <font>
      <b/>
      <sz val="14"/>
      <name val="Arial"/>
      <family val="2"/>
    </font>
    <font>
      <b/>
      <sz val="10"/>
      <color indexed="9"/>
      <name val="Verdana"/>
      <family val="2"/>
    </font>
    <font>
      <sz val="10"/>
      <name val="Verdana"/>
      <family val="2"/>
    </font>
    <font>
      <sz val="10"/>
      <color indexed="8"/>
      <name val="Verdana"/>
      <family val="2"/>
    </font>
    <font>
      <b/>
      <sz val="12"/>
      <color indexed="9"/>
      <name val="Verdana"/>
      <family val="2"/>
    </font>
    <font>
      <b/>
      <sz val="12"/>
      <color indexed="10"/>
      <name val="Arial"/>
      <family val="2"/>
    </font>
    <font>
      <b/>
      <sz val="11"/>
      <color indexed="55"/>
      <name val="Arial"/>
      <family val="2"/>
    </font>
    <font>
      <sz val="10"/>
      <color indexed="26"/>
      <name val="Arial"/>
    </font>
    <font>
      <sz val="10"/>
      <color indexed="55"/>
      <name val="Arial"/>
    </font>
    <font>
      <sz val="10"/>
      <color indexed="17"/>
      <name val="Arial"/>
      <family val="2"/>
    </font>
    <font>
      <b/>
      <sz val="16"/>
      <color indexed="17"/>
      <name val="Arial"/>
      <family val="2"/>
    </font>
    <font>
      <b/>
      <sz val="8"/>
      <color indexed="10"/>
      <name val="Arial"/>
      <family val="2"/>
    </font>
    <font>
      <b/>
      <sz val="14"/>
      <color indexed="55"/>
      <name val="Arial"/>
      <family val="2"/>
    </font>
    <font>
      <sz val="11"/>
      <color indexed="8"/>
      <name val="Arial"/>
      <family val="2"/>
    </font>
    <font>
      <sz val="10"/>
      <color indexed="17"/>
      <name val="Arial"/>
    </font>
    <font>
      <sz val="10"/>
      <color indexed="10"/>
      <name val="Arial"/>
      <family val="2"/>
    </font>
    <font>
      <sz val="10"/>
      <color indexed="54"/>
      <name val="Arial"/>
    </font>
    <font>
      <sz val="8"/>
      <name val="Arial"/>
    </font>
    <font>
      <sz val="8"/>
      <color indexed="81"/>
      <name val="Tahoma"/>
      <family val="2"/>
    </font>
    <font>
      <sz val="10"/>
      <color indexed="81"/>
      <name val="Tahoma"/>
      <family val="2"/>
    </font>
    <font>
      <sz val="10"/>
      <color indexed="9"/>
      <name val="Arial"/>
    </font>
    <font>
      <b/>
      <sz val="14"/>
      <color indexed="9"/>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medium">
        <color indexed="23"/>
      </left>
      <right style="thin">
        <color indexed="23"/>
      </right>
      <top style="thin">
        <color indexed="23"/>
      </top>
      <bottom style="thin">
        <color indexed="23"/>
      </bottom>
      <diagonal/>
    </border>
    <border>
      <left style="thin">
        <color indexed="23"/>
      </left>
      <right style="medium">
        <color indexed="9"/>
      </right>
      <top style="thin">
        <color indexed="23"/>
      </top>
      <bottom style="thin">
        <color indexed="23"/>
      </bottom>
      <diagonal/>
    </border>
    <border>
      <left style="medium">
        <color indexed="23"/>
      </left>
      <right style="thin">
        <color indexed="23"/>
      </right>
      <top style="thin">
        <color indexed="23"/>
      </top>
      <bottom style="medium">
        <color indexed="9"/>
      </bottom>
      <diagonal/>
    </border>
    <border>
      <left style="thin">
        <color indexed="23"/>
      </left>
      <right style="thin">
        <color indexed="23"/>
      </right>
      <top style="thin">
        <color indexed="23"/>
      </top>
      <bottom style="medium">
        <color indexed="9"/>
      </bottom>
      <diagonal/>
    </border>
    <border>
      <left style="thin">
        <color indexed="23"/>
      </left>
      <right style="medium">
        <color indexed="9"/>
      </right>
      <top style="thin">
        <color indexed="23"/>
      </top>
      <bottom style="medium">
        <color indexed="9"/>
      </bottom>
      <diagonal/>
    </border>
    <border>
      <left style="thin">
        <color indexed="23"/>
      </left>
      <right style="thin">
        <color indexed="23"/>
      </right>
      <top style="medium">
        <color indexed="23"/>
      </top>
      <bottom style="thin">
        <color indexed="23"/>
      </bottom>
      <diagonal/>
    </border>
    <border>
      <left style="medium">
        <color indexed="23"/>
      </left>
      <right style="thin">
        <color indexed="23"/>
      </right>
      <top style="medium">
        <color indexed="23"/>
      </top>
      <bottom style="thin">
        <color indexed="23"/>
      </bottom>
      <diagonal/>
    </border>
    <border>
      <left style="medium">
        <color indexed="23"/>
      </left>
      <right/>
      <top style="thin">
        <color indexed="23"/>
      </top>
      <bottom/>
      <diagonal/>
    </border>
    <border>
      <left/>
      <right/>
      <top style="thin">
        <color indexed="23"/>
      </top>
      <bottom/>
      <diagonal/>
    </border>
    <border>
      <left/>
      <right style="medium">
        <color indexed="9"/>
      </right>
      <top style="thin">
        <color indexed="23"/>
      </top>
      <bottom/>
      <diagonal/>
    </border>
    <border>
      <left style="medium">
        <color indexed="23"/>
      </left>
      <right/>
      <top/>
      <bottom style="medium">
        <color indexed="9"/>
      </bottom>
      <diagonal/>
    </border>
    <border>
      <left/>
      <right/>
      <top/>
      <bottom style="medium">
        <color indexed="9"/>
      </bottom>
      <diagonal/>
    </border>
    <border>
      <left/>
      <right style="medium">
        <color indexed="9"/>
      </right>
      <top/>
      <bottom style="medium">
        <color indexed="9"/>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medium">
        <color indexed="9"/>
      </right>
      <top style="medium">
        <color indexed="23"/>
      </top>
      <bottom style="thin">
        <color indexed="23"/>
      </bottom>
      <diagonal/>
    </border>
    <border>
      <left style="thin">
        <color indexed="23"/>
      </left>
      <right/>
      <top style="thin">
        <color indexed="23"/>
      </top>
      <bottom/>
      <diagonal/>
    </border>
    <border>
      <left style="thin">
        <color indexed="23"/>
      </left>
      <right/>
      <top/>
      <bottom/>
      <diagonal/>
    </border>
    <border>
      <left style="medium">
        <color indexed="23"/>
      </left>
      <right/>
      <top style="thin">
        <color indexed="23"/>
      </top>
      <bottom style="thin">
        <color indexed="23"/>
      </bottom>
      <diagonal/>
    </border>
    <border>
      <left style="medium">
        <color indexed="23"/>
      </left>
      <right/>
      <top style="thin">
        <color indexed="23"/>
      </top>
      <bottom style="medium">
        <color indexed="9"/>
      </bottom>
      <diagonal/>
    </border>
    <border>
      <left/>
      <right style="thin">
        <color indexed="23"/>
      </right>
      <top style="medium">
        <color indexed="23"/>
      </top>
      <bottom style="medium">
        <color indexed="9"/>
      </bottom>
      <diagonal/>
    </border>
    <border>
      <left style="medium">
        <color indexed="23"/>
      </left>
      <right/>
      <top style="medium">
        <color indexed="23"/>
      </top>
      <bottom style="medium">
        <color indexed="9"/>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style="medium">
        <color indexed="9"/>
      </right>
      <top style="medium">
        <color indexed="23"/>
      </top>
      <bottom/>
      <diagonal/>
    </border>
    <border>
      <left style="medium">
        <color indexed="23"/>
      </left>
      <right/>
      <top/>
      <bottom style="thin">
        <color indexed="23"/>
      </bottom>
      <diagonal/>
    </border>
    <border>
      <left/>
      <right style="thin">
        <color indexed="23"/>
      </right>
      <top style="thin">
        <color indexed="23"/>
      </top>
      <bottom style="thin">
        <color indexed="23"/>
      </bottom>
      <diagonal/>
    </border>
    <border>
      <left style="medium">
        <color indexed="23"/>
      </left>
      <right style="thin">
        <color indexed="64"/>
      </right>
      <top style="medium">
        <color indexed="23"/>
      </top>
      <bottom style="thin">
        <color indexed="64"/>
      </bottom>
      <diagonal/>
    </border>
    <border>
      <left style="thin">
        <color indexed="64"/>
      </left>
      <right style="thin">
        <color indexed="64"/>
      </right>
      <top style="medium">
        <color indexed="23"/>
      </top>
      <bottom style="thin">
        <color indexed="64"/>
      </bottom>
      <diagonal/>
    </border>
    <border>
      <left style="thin">
        <color indexed="64"/>
      </left>
      <right style="thin">
        <color indexed="64"/>
      </right>
      <top style="thin">
        <color indexed="64"/>
      </top>
      <bottom style="medium">
        <color indexed="9"/>
      </bottom>
      <diagonal/>
    </border>
    <border>
      <left style="medium">
        <color indexed="23"/>
      </left>
      <right style="thin">
        <color indexed="64"/>
      </right>
      <top style="thin">
        <color indexed="64"/>
      </top>
      <bottom style="medium">
        <color indexed="9"/>
      </bottom>
      <diagonal/>
    </border>
    <border>
      <left style="thin">
        <color indexed="64"/>
      </left>
      <right style="medium">
        <color indexed="9"/>
      </right>
      <top style="medium">
        <color indexed="23"/>
      </top>
      <bottom style="medium">
        <color indexed="9"/>
      </bottom>
      <diagonal/>
    </border>
    <border>
      <left style="medium">
        <color indexed="23"/>
      </left>
      <right/>
      <top style="medium">
        <color indexed="23"/>
      </top>
      <bottom style="thin">
        <color indexed="64"/>
      </bottom>
      <diagonal/>
    </border>
    <border>
      <left/>
      <right style="medium">
        <color indexed="9"/>
      </right>
      <top style="medium">
        <color indexed="23"/>
      </top>
      <bottom style="thin">
        <color indexed="64"/>
      </bottom>
      <diagonal/>
    </border>
    <border>
      <left/>
      <right/>
      <top style="medium">
        <color indexed="23"/>
      </top>
      <bottom style="thin">
        <color indexed="64"/>
      </bottom>
      <diagonal/>
    </border>
    <border>
      <left style="medium">
        <color indexed="23"/>
      </left>
      <right/>
      <top style="thin">
        <color indexed="64"/>
      </top>
      <bottom/>
      <diagonal/>
    </border>
    <border>
      <left style="medium">
        <color indexed="64"/>
      </left>
      <right style="medium">
        <color indexed="9"/>
      </right>
      <top style="thin">
        <color indexed="64"/>
      </top>
      <bottom/>
      <diagonal/>
    </border>
    <border>
      <left style="medium">
        <color indexed="23"/>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9"/>
      </right>
      <top/>
      <bottom style="thin">
        <color indexed="64"/>
      </bottom>
      <diagonal/>
    </border>
    <border>
      <left style="thin">
        <color indexed="64"/>
      </left>
      <right style="medium">
        <color indexed="9"/>
      </right>
      <top style="thin">
        <color indexed="64"/>
      </top>
      <bottom style="medium">
        <color indexed="9"/>
      </bottom>
      <diagonal/>
    </border>
    <border>
      <left/>
      <right style="thin">
        <color indexed="64"/>
      </right>
      <top/>
      <bottom style="thin">
        <color indexed="64"/>
      </bottom>
      <diagonal/>
    </border>
    <border>
      <left style="thin">
        <color indexed="64"/>
      </left>
      <right style="medium">
        <color indexed="9"/>
      </right>
      <top style="thin">
        <color indexed="64"/>
      </top>
      <bottom style="thin">
        <color indexed="64"/>
      </bottom>
      <diagonal/>
    </border>
    <border>
      <left style="medium">
        <color indexed="23"/>
      </left>
      <right/>
      <top style="thin">
        <color indexed="64"/>
      </top>
      <bottom style="thin">
        <color indexed="64"/>
      </bottom>
      <diagonal/>
    </border>
    <border>
      <left/>
      <right style="medium">
        <color indexed="9"/>
      </right>
      <top/>
      <bottom/>
      <diagonal/>
    </border>
    <border>
      <left style="medium">
        <color indexed="23"/>
      </left>
      <right style="thin">
        <color indexed="64"/>
      </right>
      <top style="medium">
        <color indexed="23"/>
      </top>
      <bottom style="medium">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23"/>
      </left>
      <right/>
      <top/>
      <bottom/>
      <diagonal/>
    </border>
    <border>
      <left style="medium">
        <color indexed="23"/>
      </left>
      <right/>
      <top style="thin">
        <color indexed="64"/>
      </top>
      <bottom style="medium">
        <color indexed="9"/>
      </bottom>
      <diagonal/>
    </border>
    <border>
      <left/>
      <right/>
      <top style="thin">
        <color indexed="64"/>
      </top>
      <bottom style="medium">
        <color indexed="9"/>
      </bottom>
      <diagonal/>
    </border>
    <border>
      <left/>
      <right style="thin">
        <color indexed="64"/>
      </right>
      <top style="thin">
        <color indexed="64"/>
      </top>
      <bottom style="medium">
        <color indexed="9"/>
      </bottom>
      <diagonal/>
    </border>
    <border>
      <left/>
      <right/>
      <top style="medium">
        <color indexed="23"/>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9"/>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23"/>
      </top>
      <bottom style="thin">
        <color indexed="64"/>
      </bottom>
      <diagonal/>
    </border>
    <border>
      <left style="medium">
        <color indexed="23"/>
      </left>
      <right style="thin">
        <color indexed="64"/>
      </right>
      <top/>
      <bottom style="thin">
        <color indexed="64"/>
      </bottom>
      <diagonal/>
    </border>
    <border>
      <left style="thin">
        <color indexed="64"/>
      </left>
      <right style="medium">
        <color indexed="9"/>
      </right>
      <top/>
      <bottom style="thin">
        <color indexed="64"/>
      </bottom>
      <diagonal/>
    </border>
    <border>
      <left style="medium">
        <color indexed="23"/>
      </left>
      <right style="thin">
        <color indexed="64"/>
      </right>
      <top style="thin">
        <color indexed="64"/>
      </top>
      <bottom style="thin">
        <color indexed="64"/>
      </bottom>
      <diagonal/>
    </border>
    <border>
      <left style="thin">
        <color indexed="64"/>
      </left>
      <right style="medium">
        <color indexed="9"/>
      </right>
      <top style="medium">
        <color indexed="23"/>
      </top>
      <bottom style="thin">
        <color indexed="64"/>
      </bottom>
      <diagonal/>
    </border>
    <border>
      <left/>
      <right style="medium">
        <color indexed="9"/>
      </right>
      <top style="thin">
        <color indexed="23"/>
      </top>
      <bottom style="thin">
        <color indexed="23"/>
      </bottom>
      <diagonal/>
    </border>
    <border>
      <left style="thin">
        <color indexed="23"/>
      </left>
      <right style="medium">
        <color indexed="9"/>
      </right>
      <top style="thin">
        <color indexed="23"/>
      </top>
      <bottom style="thin">
        <color indexed="9"/>
      </bottom>
      <diagonal/>
    </border>
    <border>
      <left style="thin">
        <color indexed="23"/>
      </left>
      <right style="medium">
        <color indexed="9"/>
      </right>
      <top style="medium">
        <color indexed="23"/>
      </top>
      <bottom style="medium">
        <color indexed="9"/>
      </bottom>
      <diagonal/>
    </border>
    <border>
      <left style="thin">
        <color indexed="8"/>
      </left>
      <right style="thin">
        <color indexed="8"/>
      </right>
      <top style="thin">
        <color indexed="8"/>
      </top>
      <bottom style="thin">
        <color indexed="8"/>
      </bottom>
      <diagonal/>
    </border>
    <border>
      <left style="medium">
        <color indexed="23"/>
      </left>
      <right/>
      <top style="medium">
        <color indexed="23"/>
      </top>
      <bottom style="thin">
        <color indexed="23"/>
      </bottom>
      <diagonal/>
    </border>
    <border>
      <left style="thin">
        <color indexed="23"/>
      </left>
      <right/>
      <top/>
      <bottom style="medium">
        <color indexed="9"/>
      </bottom>
      <diagonal/>
    </border>
    <border>
      <left style="thin">
        <color indexed="55"/>
      </left>
      <right style="thin">
        <color indexed="23"/>
      </right>
      <top style="thin">
        <color indexed="23"/>
      </top>
      <bottom style="medium">
        <color indexed="9"/>
      </bottom>
      <diagonal/>
    </border>
    <border>
      <left style="thin">
        <color indexed="23"/>
      </left>
      <right style="medium">
        <color indexed="9"/>
      </right>
      <top style="medium">
        <color indexed="23"/>
      </top>
      <bottom style="thin">
        <color indexed="23"/>
      </bottom>
      <diagonal/>
    </border>
    <border>
      <left style="medium">
        <color indexed="55"/>
      </left>
      <right style="thin">
        <color indexed="55"/>
      </right>
      <top style="thin">
        <color indexed="55"/>
      </top>
      <bottom style="medium">
        <color indexed="9"/>
      </bottom>
      <diagonal/>
    </border>
    <border>
      <left style="thin">
        <color indexed="55"/>
      </left>
      <right/>
      <top style="thin">
        <color indexed="64"/>
      </top>
      <bottom/>
      <diagonal/>
    </border>
    <border>
      <left style="thin">
        <color indexed="55"/>
      </left>
      <right/>
      <top/>
      <bottom style="medium">
        <color indexed="9"/>
      </bottom>
      <diagonal/>
    </border>
    <border>
      <left style="thin">
        <color indexed="23"/>
      </left>
      <right/>
      <top style="thin">
        <color indexed="64"/>
      </top>
      <bottom style="thin">
        <color indexed="64"/>
      </bottom>
      <diagonal/>
    </border>
    <border>
      <left style="thin">
        <color indexed="23"/>
      </left>
      <right style="medium">
        <color indexed="9"/>
      </right>
      <top/>
      <bottom/>
      <diagonal/>
    </border>
    <border>
      <left/>
      <right style="thin">
        <color indexed="55"/>
      </right>
      <top/>
      <bottom style="thin">
        <color indexed="55"/>
      </bottom>
      <diagonal/>
    </border>
    <border>
      <left style="medium">
        <color indexed="55"/>
      </left>
      <right style="thin">
        <color indexed="55"/>
      </right>
      <top/>
      <bottom style="thin">
        <color indexed="55"/>
      </bottom>
      <diagonal/>
    </border>
    <border>
      <left/>
      <right/>
      <top style="medium">
        <color indexed="23"/>
      </top>
      <bottom style="medium">
        <color indexed="9"/>
      </bottom>
      <diagonal/>
    </border>
    <border>
      <left style="medium">
        <color indexed="23"/>
      </left>
      <right style="medium">
        <color indexed="9"/>
      </right>
      <top style="thin">
        <color indexed="64"/>
      </top>
      <bottom/>
      <diagonal/>
    </border>
    <border>
      <left style="medium">
        <color indexed="23"/>
      </left>
      <right style="medium">
        <color indexed="9"/>
      </right>
      <top/>
      <bottom style="medium">
        <color indexed="9"/>
      </bottom>
      <diagonal/>
    </border>
    <border>
      <left style="thin">
        <color indexed="55"/>
      </left>
      <right style="medium">
        <color indexed="9"/>
      </right>
      <top style="thin">
        <color indexed="55"/>
      </top>
      <bottom style="medium">
        <color indexed="9"/>
      </bottom>
      <diagonal/>
    </border>
    <border>
      <left style="medium">
        <color indexed="23"/>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medium">
        <color indexed="23"/>
      </right>
      <top style="thin">
        <color indexed="23"/>
      </top>
      <bottom/>
      <diagonal/>
    </border>
    <border>
      <left style="medium">
        <color indexed="23"/>
      </left>
      <right style="medium">
        <color indexed="9"/>
      </right>
      <top/>
      <bottom/>
      <diagonal/>
    </border>
    <border>
      <left style="thin">
        <color indexed="55"/>
      </left>
      <right style="thin">
        <color indexed="23"/>
      </right>
      <top/>
      <bottom style="thin">
        <color indexed="23"/>
      </bottom>
      <diagonal/>
    </border>
    <border>
      <left style="thin">
        <color indexed="23"/>
      </left>
      <right style="medium">
        <color indexed="9"/>
      </right>
      <top/>
      <bottom style="thin">
        <color indexed="23"/>
      </bottom>
      <diagonal/>
    </border>
    <border>
      <left style="thin">
        <color indexed="23"/>
      </left>
      <right style="thin">
        <color indexed="23"/>
      </right>
      <top style="medium">
        <color indexed="23"/>
      </top>
      <bottom/>
      <diagonal/>
    </border>
    <border>
      <left style="thin">
        <color indexed="23"/>
      </left>
      <right style="medium">
        <color indexed="9"/>
      </right>
      <top style="medium">
        <color indexed="23"/>
      </top>
      <bottom/>
      <diagonal/>
    </border>
    <border>
      <left style="medium">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medium">
        <color indexed="55"/>
      </left>
      <right/>
      <top style="thin">
        <color indexed="55"/>
      </top>
      <bottom style="thin">
        <color indexed="55"/>
      </bottom>
      <diagonal/>
    </border>
    <border>
      <left/>
      <right style="medium">
        <color indexed="9"/>
      </right>
      <top style="thin">
        <color indexed="55"/>
      </top>
      <bottom style="thin">
        <color indexed="55"/>
      </bottom>
      <diagonal/>
    </border>
    <border>
      <left/>
      <right/>
      <top style="thin">
        <color indexed="55"/>
      </top>
      <bottom style="thin">
        <color indexed="55"/>
      </bottom>
      <diagonal/>
    </border>
    <border>
      <left style="medium">
        <color indexed="55"/>
      </left>
      <right/>
      <top style="thin">
        <color indexed="55"/>
      </top>
      <bottom style="medium">
        <color indexed="9"/>
      </bottom>
      <diagonal/>
    </border>
    <border>
      <left/>
      <right/>
      <top style="thin">
        <color indexed="55"/>
      </top>
      <bottom style="medium">
        <color indexed="9"/>
      </bottom>
      <diagonal/>
    </border>
    <border>
      <left/>
      <right/>
      <top style="medium">
        <color indexed="55"/>
      </top>
      <bottom style="thin">
        <color indexed="55"/>
      </bottom>
      <diagonal/>
    </border>
    <border>
      <left/>
      <right style="medium">
        <color indexed="9"/>
      </right>
      <top style="medium">
        <color indexed="55"/>
      </top>
      <bottom style="thin">
        <color indexed="55"/>
      </bottom>
      <diagonal/>
    </border>
    <border>
      <left style="medium">
        <color indexed="55"/>
      </left>
      <right/>
      <top style="medium">
        <color indexed="55"/>
      </top>
      <bottom style="thin">
        <color indexed="55"/>
      </bottom>
      <diagonal/>
    </border>
    <border>
      <left style="medium">
        <color indexed="55"/>
      </left>
      <right/>
      <top style="thin">
        <color indexed="55"/>
      </top>
      <bottom/>
      <diagonal/>
    </border>
    <border>
      <left/>
      <right/>
      <top style="thin">
        <color indexed="55"/>
      </top>
      <bottom/>
      <diagonal/>
    </border>
    <border>
      <left style="thin">
        <color indexed="55"/>
      </left>
      <right style="medium">
        <color indexed="9"/>
      </right>
      <top style="thin">
        <color indexed="55"/>
      </top>
      <bottom/>
      <diagonal/>
    </border>
    <border>
      <left style="thin">
        <color indexed="55"/>
      </left>
      <right style="medium">
        <color indexed="9"/>
      </right>
      <top style="thin">
        <color indexed="55"/>
      </top>
      <bottom style="thin">
        <color indexed="55"/>
      </bottom>
      <diagonal/>
    </border>
    <border>
      <left style="medium">
        <color indexed="23"/>
      </left>
      <right/>
      <top style="medium">
        <color indexed="23"/>
      </top>
      <bottom/>
      <diagonal/>
    </border>
    <border>
      <left/>
      <right style="medium">
        <color indexed="9"/>
      </right>
      <top style="thin">
        <color indexed="23"/>
      </top>
      <bottom style="medium">
        <color indexed="9"/>
      </bottom>
      <diagonal/>
    </border>
    <border>
      <left/>
      <right/>
      <top/>
      <bottom style="thin">
        <color indexed="23"/>
      </bottom>
      <diagonal/>
    </border>
    <border>
      <left/>
      <right style="thin">
        <color indexed="23"/>
      </right>
      <top style="medium">
        <color indexed="23"/>
      </top>
      <bottom style="thin">
        <color indexed="23"/>
      </bottom>
      <diagonal/>
    </border>
    <border>
      <left/>
      <right style="thin">
        <color indexed="23"/>
      </right>
      <top style="thin">
        <color indexed="23"/>
      </top>
      <bottom style="medium">
        <color indexed="9"/>
      </bottom>
      <diagonal/>
    </border>
    <border>
      <left/>
      <right style="thin">
        <color indexed="55"/>
      </right>
      <top/>
      <bottom style="thin">
        <color indexed="23"/>
      </bottom>
      <diagonal/>
    </border>
    <border>
      <left/>
      <right/>
      <top style="medium">
        <color indexed="9"/>
      </top>
      <bottom/>
      <diagonal/>
    </border>
    <border>
      <left style="medium">
        <color indexed="55"/>
      </left>
      <right/>
      <top style="medium">
        <color indexed="55"/>
      </top>
      <bottom/>
      <diagonal/>
    </border>
    <border>
      <left/>
      <right/>
      <top style="medium">
        <color indexed="55"/>
      </top>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bottom style="thin">
        <color indexed="55"/>
      </bottom>
      <diagonal/>
    </border>
    <border>
      <left style="medium">
        <color indexed="55"/>
      </left>
      <right/>
      <top/>
      <bottom/>
      <diagonal/>
    </border>
    <border>
      <left style="thin">
        <color indexed="55"/>
      </left>
      <right style="thin">
        <color indexed="55"/>
      </right>
      <top style="thin">
        <color indexed="55"/>
      </top>
      <bottom style="medium">
        <color indexed="9"/>
      </bottom>
      <diagonal/>
    </border>
    <border>
      <left style="thin">
        <color indexed="55"/>
      </left>
      <right style="medium">
        <color indexed="9"/>
      </right>
      <top/>
      <bottom/>
      <diagonal/>
    </border>
    <border>
      <left style="thin">
        <color indexed="55"/>
      </left>
      <right style="thin">
        <color indexed="55"/>
      </right>
      <top style="medium">
        <color indexed="55"/>
      </top>
      <bottom style="thin">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55"/>
      </right>
      <top style="thin">
        <color indexed="55"/>
      </top>
      <bottom style="thin">
        <color indexed="55"/>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style="thin">
        <color indexed="55"/>
      </left>
      <right/>
      <top/>
      <bottom/>
      <diagonal/>
    </border>
    <border>
      <left/>
      <right style="thin">
        <color indexed="55"/>
      </right>
      <top/>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medium">
        <color indexed="64"/>
      </top>
      <bottom/>
      <diagonal/>
    </border>
  </borders>
  <cellStyleXfs count="2">
    <xf numFmtId="0" fontId="0" fillId="0" borderId="0"/>
    <xf numFmtId="171" fontId="1" fillId="0" borderId="0" applyFont="0" applyFill="0" applyBorder="0" applyAlignment="0" applyProtection="0"/>
  </cellStyleXfs>
  <cellXfs count="528">
    <xf numFmtId="0" fontId="0" fillId="0" borderId="0" xfId="0"/>
    <xf numFmtId="172" fontId="0" fillId="0" borderId="0" xfId="0" applyNumberFormat="1"/>
    <xf numFmtId="2" fontId="0" fillId="0" borderId="0" xfId="0" applyNumberFormat="1"/>
    <xf numFmtId="0" fontId="0" fillId="0" borderId="0" xfId="0" applyAlignment="1">
      <alignment horizontal="center"/>
    </xf>
    <xf numFmtId="179" fontId="0" fillId="0" borderId="0" xfId="0" applyNumberFormat="1"/>
    <xf numFmtId="0" fontId="2" fillId="0" borderId="0" xfId="0" applyFont="1" applyAlignment="1">
      <alignment horizontal="center"/>
    </xf>
    <xf numFmtId="179" fontId="2" fillId="0" borderId="0" xfId="0" applyNumberFormat="1" applyFont="1" applyAlignment="1">
      <alignment horizontal="center"/>
    </xf>
    <xf numFmtId="0" fontId="0" fillId="2" borderId="0" xfId="0" applyFill="1"/>
    <xf numFmtId="0" fontId="0" fillId="0" borderId="0" xfId="0" applyAlignment="1">
      <alignment horizontal="right"/>
    </xf>
    <xf numFmtId="2" fontId="0" fillId="0" borderId="0" xfId="0" applyNumberFormat="1" applyAlignment="1">
      <alignment horizontal="right"/>
    </xf>
    <xf numFmtId="0" fontId="3" fillId="0" borderId="0" xfId="0" applyFont="1" applyAlignment="1">
      <alignment horizontal="center"/>
    </xf>
    <xf numFmtId="0" fontId="0" fillId="3" borderId="0" xfId="0" applyFill="1"/>
    <xf numFmtId="178" fontId="0" fillId="3" borderId="0" xfId="0" applyNumberFormat="1" applyFill="1"/>
    <xf numFmtId="0" fontId="0" fillId="3" borderId="0" xfId="0" quotePrefix="1" applyFill="1"/>
    <xf numFmtId="173" fontId="0" fillId="3" borderId="0" xfId="0" applyNumberFormat="1" applyFill="1"/>
    <xf numFmtId="2" fontId="7" fillId="3" borderId="0" xfId="0" applyNumberFormat="1" applyFont="1" applyFill="1"/>
    <xf numFmtId="0" fontId="8" fillId="3" borderId="0" xfId="0" applyFont="1" applyFill="1" applyBorder="1" applyProtection="1">
      <protection locked="0"/>
    </xf>
    <xf numFmtId="12" fontId="0" fillId="0" borderId="0" xfId="0" applyNumberFormat="1" applyAlignment="1">
      <alignment horizontal="center"/>
    </xf>
    <xf numFmtId="1" fontId="0" fillId="0" borderId="0" xfId="0" applyNumberFormat="1"/>
    <xf numFmtId="13" fontId="0" fillId="3" borderId="0" xfId="0" applyNumberFormat="1" applyFill="1" applyAlignment="1">
      <alignment vertical="center"/>
    </xf>
    <xf numFmtId="0" fontId="0" fillId="3" borderId="0" xfId="0" applyFill="1" applyAlignment="1">
      <alignment vertical="center"/>
    </xf>
    <xf numFmtId="0" fontId="9" fillId="3" borderId="0" xfId="0" applyFont="1" applyFill="1" applyAlignment="1">
      <alignment vertical="center"/>
    </xf>
    <xf numFmtId="0" fontId="0" fillId="3" borderId="0" xfId="0" applyFill="1" applyAlignment="1" applyProtection="1">
      <alignment vertical="center"/>
      <protection locked="0"/>
    </xf>
    <xf numFmtId="0" fontId="9" fillId="3" borderId="0" xfId="0" applyFont="1" applyFill="1" applyBorder="1" applyAlignment="1" applyProtection="1">
      <alignment vertical="center"/>
    </xf>
    <xf numFmtId="39" fontId="8" fillId="0" borderId="1" xfId="0" applyNumberFormat="1" applyFont="1" applyBorder="1" applyProtection="1">
      <protection locked="0"/>
    </xf>
    <xf numFmtId="0" fontId="21" fillId="3" borderId="0" xfId="0" applyFont="1" applyFill="1" applyAlignment="1" applyProtection="1">
      <alignment vertical="center"/>
    </xf>
    <xf numFmtId="0" fontId="19" fillId="3" borderId="0" xfId="0" applyFont="1" applyFill="1" applyAlignment="1" applyProtection="1">
      <alignment vertical="center"/>
      <protection hidden="1"/>
    </xf>
    <xf numFmtId="2" fontId="23" fillId="3" borderId="0" xfId="0" applyNumberFormat="1" applyFont="1" applyFill="1"/>
    <xf numFmtId="0" fontId="10" fillId="0" borderId="0" xfId="0" applyFont="1"/>
    <xf numFmtId="0" fontId="2" fillId="0" borderId="0" xfId="0" applyFont="1"/>
    <xf numFmtId="0" fontId="24" fillId="0" borderId="0" xfId="0" applyFont="1"/>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12" fontId="27" fillId="3" borderId="3" xfId="0" applyNumberFormat="1" applyFont="1" applyFill="1" applyBorder="1" applyAlignment="1">
      <alignment vertical="center"/>
    </xf>
    <xf numFmtId="12" fontId="27" fillId="3" borderId="5" xfId="0" applyNumberFormat="1" applyFont="1" applyFill="1" applyBorder="1" applyAlignment="1">
      <alignment vertical="center"/>
    </xf>
    <xf numFmtId="0" fontId="27" fillId="3" borderId="2" xfId="0" applyFont="1" applyFill="1" applyBorder="1" applyAlignment="1">
      <alignment vertical="center"/>
    </xf>
    <xf numFmtId="0" fontId="14" fillId="5" borderId="4" xfId="0" applyFont="1" applyFill="1" applyBorder="1" applyAlignment="1" applyProtection="1">
      <alignment vertical="center"/>
      <protection locked="0"/>
    </xf>
    <xf numFmtId="0" fontId="27" fillId="3" borderId="6" xfId="0" applyFont="1" applyFill="1" applyBorder="1" applyAlignment="1">
      <alignment vertical="center"/>
    </xf>
    <xf numFmtId="0" fontId="14" fillId="5" borderId="7" xfId="0" applyFont="1" applyFill="1" applyBorder="1" applyAlignment="1" applyProtection="1">
      <alignment vertical="center"/>
      <protection locked="0"/>
    </xf>
    <xf numFmtId="0" fontId="30" fillId="6" borderId="8" xfId="0" applyFont="1" applyFill="1" applyBorder="1" applyAlignment="1">
      <alignment horizontal="center" vertical="center"/>
    </xf>
    <xf numFmtId="0" fontId="29" fillId="4" borderId="3" xfId="0" applyFont="1" applyFill="1" applyBorder="1" applyAlignment="1">
      <alignment vertical="center"/>
    </xf>
    <xf numFmtId="12" fontId="14" fillId="5" borderId="2" xfId="0" applyNumberFormat="1" applyFont="1" applyFill="1" applyBorder="1" applyAlignment="1" applyProtection="1">
      <alignment vertical="center"/>
      <protection locked="0"/>
    </xf>
    <xf numFmtId="0" fontId="32" fillId="6" borderId="9" xfId="0" applyFont="1" applyFill="1" applyBorder="1" applyAlignment="1">
      <alignment vertical="center"/>
    </xf>
    <xf numFmtId="0" fontId="33" fillId="6" borderId="8" xfId="0" applyFont="1" applyFill="1" applyBorder="1" applyAlignment="1">
      <alignment vertical="center"/>
    </xf>
    <xf numFmtId="0" fontId="34" fillId="4" borderId="2" xfId="0" applyFont="1" applyFill="1" applyBorder="1" applyAlignment="1">
      <alignment horizontal="center" vertical="center"/>
    </xf>
    <xf numFmtId="0" fontId="34" fillId="4" borderId="4" xfId="0" applyFont="1" applyFill="1" applyBorder="1" applyAlignment="1">
      <alignment horizontal="center" vertical="center"/>
    </xf>
    <xf numFmtId="12" fontId="10" fillId="3" borderId="2" xfId="0" applyNumberFormat="1" applyFont="1" applyFill="1" applyBorder="1" applyAlignment="1">
      <alignment vertical="center"/>
    </xf>
    <xf numFmtId="0" fontId="2" fillId="3" borderId="2" xfId="0" applyFont="1" applyFill="1" applyBorder="1" applyAlignment="1">
      <alignment vertical="center"/>
    </xf>
    <xf numFmtId="169" fontId="16" fillId="3" borderId="4" xfId="1" applyNumberFormat="1" applyFont="1" applyFill="1" applyBorder="1" applyAlignment="1" applyProtection="1">
      <alignment vertical="center"/>
    </xf>
    <xf numFmtId="169" fontId="10" fillId="3" borderId="4" xfId="1" applyNumberFormat="1" applyFont="1" applyFill="1" applyBorder="1" applyAlignment="1" applyProtection="1">
      <alignment vertical="center"/>
    </xf>
    <xf numFmtId="2" fontId="2" fillId="3" borderId="2" xfId="0" applyNumberFormat="1" applyFont="1" applyFill="1" applyBorder="1" applyAlignment="1">
      <alignment vertical="center"/>
    </xf>
    <xf numFmtId="169" fontId="10" fillId="3" borderId="4" xfId="1" applyNumberFormat="1" applyFont="1"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12" fontId="0" fillId="3" borderId="11" xfId="0" applyNumberFormat="1" applyFill="1" applyBorder="1" applyAlignment="1">
      <alignment vertical="center"/>
    </xf>
    <xf numFmtId="169" fontId="0" fillId="3" borderId="12" xfId="1" applyNumberFormat="1" applyFont="1" applyFill="1" applyBorder="1" applyAlignment="1">
      <alignment vertical="center"/>
    </xf>
    <xf numFmtId="0" fontId="0" fillId="3" borderId="13" xfId="0" applyFill="1" applyBorder="1" applyAlignment="1">
      <alignment vertical="center"/>
    </xf>
    <xf numFmtId="172" fontId="17" fillId="3" borderId="14" xfId="0" applyNumberFormat="1" applyFont="1" applyFill="1" applyBorder="1" applyAlignment="1">
      <alignment vertical="center"/>
    </xf>
    <xf numFmtId="0" fontId="0" fillId="3" borderId="14" xfId="0" applyFill="1" applyBorder="1" applyAlignment="1">
      <alignment vertical="center"/>
    </xf>
    <xf numFmtId="0" fontId="0" fillId="3" borderId="15" xfId="0" applyFill="1" applyBorder="1" applyAlignment="1">
      <alignment vertical="center"/>
    </xf>
    <xf numFmtId="0" fontId="33" fillId="6" borderId="16" xfId="0" applyFont="1" applyFill="1" applyBorder="1" applyAlignment="1">
      <alignment horizontal="right" vertical="center"/>
    </xf>
    <xf numFmtId="0" fontId="33" fillId="6" borderId="17" xfId="0" applyFont="1" applyFill="1" applyBorder="1" applyAlignment="1">
      <alignment vertical="center"/>
    </xf>
    <xf numFmtId="0" fontId="15" fillId="6" borderId="18" xfId="0" applyFont="1" applyFill="1" applyBorder="1" applyAlignment="1">
      <alignment vertical="center"/>
    </xf>
    <xf numFmtId="0" fontId="0" fillId="3" borderId="19" xfId="0" applyFill="1" applyBorder="1" applyAlignment="1" applyProtection="1">
      <alignment vertical="center"/>
      <protection locked="0"/>
    </xf>
    <xf numFmtId="0" fontId="0" fillId="3" borderId="20" xfId="0" applyFill="1" applyBorder="1" applyAlignment="1" applyProtection="1">
      <alignment vertical="center"/>
      <protection locked="0"/>
    </xf>
    <xf numFmtId="0" fontId="34" fillId="6" borderId="9" xfId="0" applyFont="1" applyFill="1" applyBorder="1" applyAlignment="1">
      <alignment horizontal="left" vertical="center"/>
    </xf>
    <xf numFmtId="13" fontId="27" fillId="3" borderId="21" xfId="0" applyNumberFormat="1" applyFont="1" applyFill="1" applyBorder="1" applyAlignment="1">
      <alignment vertical="center"/>
    </xf>
    <xf numFmtId="13" fontId="27" fillId="3" borderId="22" xfId="0" applyNumberFormat="1" applyFont="1" applyFill="1" applyBorder="1" applyAlignment="1">
      <alignment vertical="center"/>
    </xf>
    <xf numFmtId="0" fontId="0" fillId="3" borderId="23" xfId="0" applyFill="1" applyBorder="1" applyAlignment="1">
      <alignment vertical="center"/>
    </xf>
    <xf numFmtId="0" fontId="25" fillId="3" borderId="0" xfId="0" applyFont="1" applyFill="1" applyAlignment="1">
      <alignment vertical="center"/>
    </xf>
    <xf numFmtId="0" fontId="25" fillId="3" borderId="14" xfId="0" applyFont="1" applyFill="1" applyBorder="1" applyAlignment="1">
      <alignment horizontal="left" vertical="center"/>
    </xf>
    <xf numFmtId="0" fontId="36" fillId="3" borderId="14" xfId="0" applyFont="1" applyFill="1" applyBorder="1" applyAlignment="1">
      <alignment horizontal="right" vertical="center"/>
    </xf>
    <xf numFmtId="0" fontId="39" fillId="3" borderId="24" xfId="0" applyFont="1" applyFill="1" applyBorder="1" applyAlignment="1">
      <alignment vertical="center"/>
    </xf>
    <xf numFmtId="0" fontId="37" fillId="6" borderId="25" xfId="0" applyFont="1" applyFill="1" applyBorder="1"/>
    <xf numFmtId="0" fontId="26" fillId="6" borderId="26" xfId="0" applyFont="1" applyFill="1" applyBorder="1"/>
    <xf numFmtId="0" fontId="31" fillId="6" borderId="26" xfId="0" applyFont="1" applyFill="1" applyBorder="1" applyAlignment="1">
      <alignment horizontal="right"/>
    </xf>
    <xf numFmtId="0" fontId="29" fillId="4" borderId="27" xfId="0" applyFont="1" applyFill="1" applyBorder="1" applyAlignment="1">
      <alignment horizontal="center" vertical="center"/>
    </xf>
    <xf numFmtId="0" fontId="29" fillId="4" borderId="28" xfId="0" applyFont="1" applyFill="1" applyBorder="1" applyAlignment="1">
      <alignment horizontal="center" vertical="center"/>
    </xf>
    <xf numFmtId="0" fontId="35" fillId="4" borderId="21" xfId="0" applyFont="1" applyFill="1" applyBorder="1" applyAlignment="1">
      <alignment vertical="center"/>
    </xf>
    <xf numFmtId="0" fontId="35" fillId="4" borderId="29" xfId="0" applyFont="1" applyFill="1" applyBorder="1" applyAlignment="1">
      <alignment vertical="center"/>
    </xf>
    <xf numFmtId="0" fontId="18" fillId="3" borderId="15" xfId="0" applyFont="1" applyFill="1" applyBorder="1" applyAlignment="1">
      <alignment vertical="center"/>
    </xf>
    <xf numFmtId="169" fontId="8" fillId="0" borderId="30" xfId="1" applyNumberFormat="1" applyFont="1" applyBorder="1" applyProtection="1">
      <protection locked="0"/>
    </xf>
    <xf numFmtId="2" fontId="8" fillId="0" borderId="31" xfId="1" applyNumberFormat="1" applyFont="1" applyFill="1" applyBorder="1" applyAlignment="1" applyProtection="1">
      <alignment horizontal="right"/>
      <protection locked="0"/>
    </xf>
    <xf numFmtId="2" fontId="8" fillId="0" borderId="32" xfId="0" applyNumberFormat="1" applyFont="1" applyBorder="1" applyAlignment="1" applyProtection="1">
      <alignment horizontal="right"/>
      <protection locked="0"/>
    </xf>
    <xf numFmtId="180" fontId="8" fillId="0" borderId="33" xfId="1" applyNumberFormat="1" applyFont="1" applyBorder="1" applyProtection="1">
      <protection locked="0"/>
    </xf>
    <xf numFmtId="181" fontId="8" fillId="0" borderId="34" xfId="0" applyNumberFormat="1" applyFont="1" applyBorder="1" applyProtection="1">
      <protection locked="0"/>
    </xf>
    <xf numFmtId="171" fontId="8" fillId="0" borderId="33" xfId="1" applyNumberFormat="1" applyFont="1" applyBorder="1" applyProtection="1">
      <protection locked="0"/>
    </xf>
    <xf numFmtId="0" fontId="0" fillId="3" borderId="0" xfId="0" applyFill="1" applyProtection="1"/>
    <xf numFmtId="0" fontId="0" fillId="0" borderId="0" xfId="0" applyProtection="1"/>
    <xf numFmtId="0" fontId="5" fillId="6" borderId="35" xfId="0" applyFont="1" applyFill="1" applyBorder="1" applyProtection="1"/>
    <xf numFmtId="0" fontId="6" fillId="6" borderId="36" xfId="0" applyFont="1" applyFill="1" applyBorder="1" applyProtection="1"/>
    <xf numFmtId="0" fontId="6" fillId="6" borderId="37" xfId="0" applyFont="1" applyFill="1" applyBorder="1" applyProtection="1"/>
    <xf numFmtId="0" fontId="5" fillId="4" borderId="38" xfId="0" applyFont="1" applyFill="1" applyBorder="1" applyAlignment="1" applyProtection="1">
      <alignment horizontal="center"/>
    </xf>
    <xf numFmtId="0" fontId="5" fillId="4" borderId="39" xfId="0" applyFont="1" applyFill="1" applyBorder="1" applyAlignment="1" applyProtection="1">
      <alignment horizontal="center"/>
    </xf>
    <xf numFmtId="0" fontId="0" fillId="3" borderId="0" xfId="0" applyFill="1" applyAlignment="1" applyProtection="1">
      <alignment horizontal="center"/>
    </xf>
    <xf numFmtId="0" fontId="5" fillId="4" borderId="40" xfId="0" applyFont="1" applyFill="1" applyBorder="1" applyAlignment="1" applyProtection="1">
      <alignment horizontal="center"/>
    </xf>
    <xf numFmtId="0" fontId="5" fillId="4" borderId="41" xfId="0" applyFont="1" applyFill="1" applyBorder="1" applyAlignment="1" applyProtection="1">
      <alignment horizontal="center"/>
    </xf>
    <xf numFmtId="0" fontId="5" fillId="4" borderId="42" xfId="0" applyFont="1" applyFill="1" applyBorder="1" applyAlignment="1" applyProtection="1">
      <alignment horizontal="right"/>
    </xf>
    <xf numFmtId="0" fontId="5" fillId="4" borderId="43" xfId="0" applyFont="1" applyFill="1" applyBorder="1" applyAlignment="1" applyProtection="1">
      <alignment horizontal="center"/>
    </xf>
    <xf numFmtId="181" fontId="9" fillId="3" borderId="44" xfId="1" applyNumberFormat="1" applyFont="1" applyFill="1" applyBorder="1" applyProtection="1"/>
    <xf numFmtId="0" fontId="0" fillId="3" borderId="40" xfId="0" applyFill="1" applyBorder="1" applyProtection="1"/>
    <xf numFmtId="0" fontId="0" fillId="3" borderId="41" xfId="0" applyFill="1" applyBorder="1" applyProtection="1"/>
    <xf numFmtId="0" fontId="0" fillId="3" borderId="45" xfId="0" applyFill="1" applyBorder="1" applyProtection="1"/>
    <xf numFmtId="39" fontId="9" fillId="3" borderId="46" xfId="1" applyNumberFormat="1" applyFont="1" applyFill="1" applyBorder="1" applyProtection="1"/>
    <xf numFmtId="0" fontId="0" fillId="3" borderId="47" xfId="0" applyFill="1" applyBorder="1" applyProtection="1"/>
    <xf numFmtId="0" fontId="0" fillId="3" borderId="0" xfId="0" applyFill="1" applyBorder="1" applyProtection="1"/>
    <xf numFmtId="0" fontId="1" fillId="3" borderId="0" xfId="0" applyFont="1" applyFill="1" applyBorder="1" applyProtection="1"/>
    <xf numFmtId="0" fontId="0" fillId="3" borderId="48" xfId="0" applyFill="1" applyBorder="1" applyProtection="1"/>
    <xf numFmtId="181" fontId="9" fillId="3" borderId="49" xfId="1" applyNumberFormat="1" applyFont="1" applyFill="1" applyBorder="1" applyProtection="1"/>
    <xf numFmtId="0" fontId="0" fillId="3" borderId="50" xfId="0" applyFill="1" applyBorder="1" applyProtection="1"/>
    <xf numFmtId="0" fontId="0" fillId="3" borderId="51" xfId="0" applyFill="1" applyBorder="1" applyProtection="1"/>
    <xf numFmtId="181" fontId="9" fillId="3" borderId="0" xfId="1" applyNumberFormat="1" applyFont="1" applyFill="1" applyBorder="1" applyProtection="1"/>
    <xf numFmtId="181" fontId="8" fillId="3" borderId="0" xfId="0" applyNumberFormat="1" applyFont="1" applyFill="1" applyBorder="1" applyProtection="1"/>
    <xf numFmtId="0" fontId="22" fillId="3" borderId="0" xfId="0" applyFont="1" applyFill="1" applyProtection="1"/>
    <xf numFmtId="0" fontId="0" fillId="3" borderId="52" xfId="0" applyFill="1" applyBorder="1" applyProtection="1"/>
    <xf numFmtId="0" fontId="0" fillId="3" borderId="53" xfId="0" applyFill="1" applyBorder="1" applyProtection="1"/>
    <xf numFmtId="0" fontId="0" fillId="3" borderId="54" xfId="0" applyFill="1" applyBorder="1" applyProtection="1"/>
    <xf numFmtId="0" fontId="0" fillId="3" borderId="55" xfId="0" applyFill="1" applyBorder="1" applyProtection="1"/>
    <xf numFmtId="0" fontId="6" fillId="6" borderId="56" xfId="0" applyFont="1" applyFill="1" applyBorder="1" applyProtection="1"/>
    <xf numFmtId="182" fontId="5" fillId="4" borderId="38" xfId="1" applyNumberFormat="1" applyFont="1" applyFill="1" applyBorder="1" applyAlignment="1" applyProtection="1">
      <alignment horizontal="center"/>
    </xf>
    <xf numFmtId="182" fontId="5" fillId="4" borderId="57" xfId="1" applyNumberFormat="1" applyFont="1" applyFill="1" applyBorder="1" applyAlignment="1" applyProtection="1">
      <alignment horizontal="center"/>
    </xf>
    <xf numFmtId="182" fontId="5" fillId="4" borderId="58" xfId="1" applyNumberFormat="1" applyFont="1" applyFill="1" applyBorder="1" applyAlignment="1" applyProtection="1">
      <alignment horizontal="center"/>
    </xf>
    <xf numFmtId="182" fontId="5" fillId="4" borderId="59" xfId="1" applyNumberFormat="1" applyFont="1" applyFill="1" applyBorder="1" applyAlignment="1" applyProtection="1">
      <alignment horizontal="center"/>
    </xf>
    <xf numFmtId="182" fontId="5" fillId="4" borderId="40" xfId="1" applyNumberFormat="1" applyFont="1" applyFill="1" applyBorder="1" applyAlignment="1" applyProtection="1">
      <alignment horizontal="center"/>
    </xf>
    <xf numFmtId="182" fontId="5" fillId="4" borderId="42" xfId="1" applyNumberFormat="1" applyFont="1" applyFill="1" applyBorder="1" applyAlignment="1" applyProtection="1">
      <alignment horizontal="center"/>
    </xf>
    <xf numFmtId="182" fontId="5" fillId="4" borderId="60" xfId="1" applyNumberFormat="1" applyFont="1" applyFill="1" applyBorder="1" applyAlignment="1" applyProtection="1">
      <alignment horizontal="center"/>
    </xf>
    <xf numFmtId="182" fontId="5" fillId="4" borderId="43" xfId="1" applyNumberFormat="1" applyFont="1" applyFill="1" applyBorder="1" applyAlignment="1" applyProtection="1">
      <alignment horizontal="center"/>
    </xf>
    <xf numFmtId="0" fontId="5" fillId="4" borderId="35" xfId="0" applyFont="1" applyFill="1" applyBorder="1" applyAlignment="1" applyProtection="1">
      <alignment horizontal="center"/>
    </xf>
    <xf numFmtId="0" fontId="5" fillId="4" borderId="37" xfId="0" applyFont="1" applyFill="1" applyBorder="1" applyAlignment="1" applyProtection="1">
      <alignment horizontal="center"/>
    </xf>
    <xf numFmtId="0" fontId="5" fillId="4" borderId="61" xfId="0" applyFont="1" applyFill="1" applyBorder="1" applyAlignment="1" applyProtection="1">
      <alignment horizontal="right"/>
    </xf>
    <xf numFmtId="0" fontId="5" fillId="4" borderId="36" xfId="0" applyFont="1" applyFill="1" applyBorder="1" applyAlignment="1" applyProtection="1">
      <alignment horizontal="center"/>
    </xf>
    <xf numFmtId="182" fontId="0" fillId="3" borderId="62" xfId="1" applyNumberFormat="1" applyFont="1" applyFill="1" applyBorder="1" applyAlignment="1" applyProtection="1">
      <alignment horizontal="center"/>
    </xf>
    <xf numFmtId="169" fontId="0" fillId="0" borderId="60" xfId="1" applyNumberFormat="1" applyFont="1" applyBorder="1" applyAlignment="1" applyProtection="1">
      <alignment horizontal="right"/>
    </xf>
    <xf numFmtId="180" fontId="0" fillId="0" borderId="60" xfId="1" applyNumberFormat="1" applyFont="1" applyBorder="1" applyAlignment="1" applyProtection="1">
      <alignment horizontal="center"/>
    </xf>
    <xf numFmtId="0" fontId="0" fillId="3" borderId="63" xfId="0" applyFill="1" applyBorder="1" applyProtection="1"/>
    <xf numFmtId="182" fontId="0" fillId="0" borderId="64" xfId="1" applyNumberFormat="1" applyFont="1" applyBorder="1" applyProtection="1"/>
    <xf numFmtId="169" fontId="0" fillId="0" borderId="1" xfId="1" applyNumberFormat="1" applyFont="1" applyBorder="1" applyProtection="1"/>
    <xf numFmtId="180" fontId="0" fillId="0" borderId="1" xfId="1" applyNumberFormat="1" applyFont="1" applyBorder="1" applyAlignment="1" applyProtection="1">
      <alignment horizontal="center"/>
    </xf>
    <xf numFmtId="0" fontId="0" fillId="3" borderId="46" xfId="0" applyFill="1" applyBorder="1" applyProtection="1"/>
    <xf numFmtId="2" fontId="0" fillId="3" borderId="46" xfId="0" applyNumberFormat="1" applyFill="1" applyBorder="1" applyProtection="1"/>
    <xf numFmtId="182" fontId="0" fillId="0" borderId="33" xfId="1" applyNumberFormat="1" applyFont="1" applyBorder="1" applyProtection="1"/>
    <xf numFmtId="169" fontId="0" fillId="0" borderId="32" xfId="1" applyNumberFormat="1" applyFont="1" applyBorder="1" applyProtection="1"/>
    <xf numFmtId="2" fontId="0" fillId="3" borderId="44" xfId="0" applyNumberFormat="1" applyFill="1" applyBorder="1" applyProtection="1"/>
    <xf numFmtId="2" fontId="0" fillId="3" borderId="65" xfId="0" applyNumberFormat="1" applyFill="1" applyBorder="1" applyProtection="1"/>
    <xf numFmtId="0" fontId="0" fillId="3" borderId="33" xfId="0" applyFill="1" applyBorder="1" applyProtection="1"/>
    <xf numFmtId="2" fontId="20" fillId="3" borderId="0" xfId="0" applyNumberFormat="1" applyFont="1" applyFill="1" applyBorder="1" applyAlignment="1" applyProtection="1">
      <alignment horizontal="right"/>
    </xf>
    <xf numFmtId="2" fontId="0" fillId="3" borderId="0" xfId="0" applyNumberFormat="1" applyFill="1" applyBorder="1" applyProtection="1"/>
    <xf numFmtId="0" fontId="14" fillId="3" borderId="51" xfId="0" applyFont="1" applyFill="1" applyBorder="1" applyAlignment="1" applyProtection="1">
      <alignment horizontal="center"/>
    </xf>
    <xf numFmtId="0" fontId="41" fillId="3" borderId="51" xfId="0" applyFont="1" applyFill="1" applyBorder="1" applyAlignment="1" applyProtection="1">
      <alignment horizontal="center"/>
    </xf>
    <xf numFmtId="2" fontId="9" fillId="3" borderId="31" xfId="1" applyNumberFormat="1" applyFont="1" applyFill="1" applyBorder="1" applyAlignment="1" applyProtection="1">
      <alignment horizontal="right"/>
    </xf>
    <xf numFmtId="2" fontId="9" fillId="3" borderId="32" xfId="0" applyNumberFormat="1" applyFont="1" applyFill="1" applyBorder="1" applyAlignment="1" applyProtection="1">
      <alignment horizontal="right"/>
    </xf>
    <xf numFmtId="169" fontId="9" fillId="3" borderId="30" xfId="1" applyNumberFormat="1" applyFont="1" applyFill="1" applyBorder="1" applyProtection="1"/>
    <xf numFmtId="169" fontId="9" fillId="3" borderId="33" xfId="1" applyNumberFormat="1" applyFont="1" applyFill="1" applyBorder="1" applyProtection="1"/>
    <xf numFmtId="0" fontId="28" fillId="0" borderId="17" xfId="0" applyFont="1" applyFill="1" applyBorder="1" applyAlignment="1" applyProtection="1">
      <alignment horizontal="center" vertical="center"/>
      <protection locked="0"/>
    </xf>
    <xf numFmtId="0" fontId="29" fillId="4" borderId="18" xfId="0" applyFont="1" applyFill="1" applyBorder="1" applyAlignment="1">
      <alignment horizontal="center" vertical="center"/>
    </xf>
    <xf numFmtId="0" fontId="29" fillId="4" borderId="8" xfId="0" applyFont="1" applyFill="1" applyBorder="1" applyAlignment="1">
      <alignment horizontal="center" vertical="center"/>
    </xf>
    <xf numFmtId="13" fontId="27" fillId="3" borderId="66" xfId="0" applyNumberFormat="1" applyFont="1" applyFill="1" applyBorder="1" applyAlignment="1">
      <alignment vertical="center"/>
    </xf>
    <xf numFmtId="13" fontId="27" fillId="3" borderId="2" xfId="0" applyNumberFormat="1" applyFont="1" applyFill="1" applyBorder="1" applyAlignment="1">
      <alignment vertical="center"/>
    </xf>
    <xf numFmtId="13" fontId="27" fillId="3" borderId="6" xfId="0" applyNumberFormat="1" applyFont="1" applyFill="1" applyBorder="1" applyAlignment="1">
      <alignment vertical="center"/>
    </xf>
    <xf numFmtId="13" fontId="27" fillId="3" borderId="67" xfId="0" applyNumberFormat="1" applyFont="1" applyFill="1" applyBorder="1" applyAlignment="1">
      <alignment vertical="center"/>
    </xf>
    <xf numFmtId="0" fontId="38" fillId="6" borderId="26" xfId="0" applyFont="1" applyFill="1" applyBorder="1" applyAlignment="1">
      <alignment horizontal="center" vertical="center" wrapText="1"/>
    </xf>
    <xf numFmtId="0" fontId="42" fillId="3" borderId="59" xfId="0" applyFont="1" applyFill="1" applyBorder="1" applyAlignment="1">
      <alignment vertical="center"/>
    </xf>
    <xf numFmtId="13" fontId="44" fillId="3" borderId="68" xfId="0" applyNumberFormat="1" applyFont="1" applyFill="1" applyBorder="1" applyAlignment="1">
      <alignment horizontal="right" vertical="center"/>
    </xf>
    <xf numFmtId="0" fontId="45" fillId="4" borderId="69" xfId="0" applyFont="1" applyFill="1" applyBorder="1" applyAlignment="1">
      <alignment horizontal="center" wrapText="1"/>
    </xf>
    <xf numFmtId="171" fontId="46" fillId="0" borderId="69" xfId="1" applyFont="1" applyBorder="1" applyAlignment="1">
      <alignment horizontal="center" vertical="center" wrapText="1"/>
    </xf>
    <xf numFmtId="0" fontId="0" fillId="0" borderId="0" xfId="0" applyAlignment="1">
      <alignment vertical="center"/>
    </xf>
    <xf numFmtId="0" fontId="49" fillId="3" borderId="0" xfId="0" applyFont="1" applyFill="1" applyAlignment="1">
      <alignment vertical="center"/>
    </xf>
    <xf numFmtId="169" fontId="27" fillId="3" borderId="4" xfId="1" applyNumberFormat="1" applyFont="1" applyFill="1" applyBorder="1" applyAlignment="1" applyProtection="1">
      <alignment vertical="center"/>
    </xf>
    <xf numFmtId="13" fontId="17" fillId="3" borderId="0" xfId="0" applyNumberFormat="1" applyFont="1" applyFill="1" applyAlignment="1">
      <alignment vertical="center"/>
    </xf>
    <xf numFmtId="0" fontId="22" fillId="3" borderId="0" xfId="0" applyFont="1" applyFill="1" applyAlignment="1">
      <alignment horizontal="center"/>
    </xf>
    <xf numFmtId="0" fontId="2" fillId="3" borderId="2" xfId="0" applyFont="1" applyFill="1" applyBorder="1" applyAlignment="1">
      <alignment vertical="center" wrapText="1"/>
    </xf>
    <xf numFmtId="0" fontId="34" fillId="6" borderId="70" xfId="0" applyFont="1" applyFill="1" applyBorder="1" applyAlignment="1">
      <alignment horizontal="left" vertical="center"/>
    </xf>
    <xf numFmtId="0" fontId="34" fillId="6" borderId="17" xfId="0" applyFont="1" applyFill="1" applyBorder="1" applyAlignment="1">
      <alignment horizontal="left" vertical="center"/>
    </xf>
    <xf numFmtId="0" fontId="0" fillId="3" borderId="0" xfId="0" applyFill="1" applyBorder="1" applyAlignment="1" applyProtection="1">
      <alignment vertical="center"/>
      <protection locked="0"/>
    </xf>
    <xf numFmtId="0" fontId="19" fillId="3" borderId="0" xfId="0" applyFont="1" applyFill="1" applyBorder="1" applyAlignment="1" applyProtection="1">
      <alignment horizontal="right" vertical="center"/>
    </xf>
    <xf numFmtId="183" fontId="27" fillId="3" borderId="2" xfId="1" applyNumberFormat="1" applyFont="1" applyFill="1" applyBorder="1" applyAlignment="1" applyProtection="1">
      <alignment vertical="center"/>
    </xf>
    <xf numFmtId="0" fontId="29" fillId="4" borderId="5" xfId="0" applyFont="1" applyFill="1" applyBorder="1" applyAlignment="1">
      <alignment vertical="center"/>
    </xf>
    <xf numFmtId="12" fontId="14" fillId="5" borderId="6" xfId="0" applyNumberFormat="1" applyFont="1" applyFill="1" applyBorder="1" applyAlignment="1" applyProtection="1">
      <alignment vertical="center"/>
      <protection locked="0"/>
    </xf>
    <xf numFmtId="0" fontId="0" fillId="3" borderId="71" xfId="0" applyFill="1" applyBorder="1" applyAlignment="1" applyProtection="1">
      <alignment vertical="center"/>
      <protection locked="0"/>
    </xf>
    <xf numFmtId="183" fontId="27" fillId="3" borderId="72" xfId="1" applyNumberFormat="1" applyFont="1" applyFill="1" applyBorder="1" applyAlignment="1">
      <alignment vertical="center"/>
    </xf>
    <xf numFmtId="169" fontId="27" fillId="3" borderId="7" xfId="1" applyNumberFormat="1" applyFont="1" applyFill="1" applyBorder="1" applyAlignment="1" applyProtection="1">
      <alignment vertical="center"/>
    </xf>
    <xf numFmtId="0" fontId="29" fillId="4" borderId="73" xfId="0" applyFont="1" applyFill="1" applyBorder="1" applyAlignment="1">
      <alignment horizontal="center" vertical="center"/>
    </xf>
    <xf numFmtId="0" fontId="52" fillId="3" borderId="74" xfId="0" applyFont="1" applyFill="1" applyBorder="1"/>
    <xf numFmtId="180" fontId="42" fillId="3" borderId="75" xfId="1" applyNumberFormat="1" applyFont="1" applyFill="1" applyBorder="1" applyAlignment="1">
      <alignment vertical="center"/>
    </xf>
    <xf numFmtId="180" fontId="27" fillId="3" borderId="76" xfId="1" applyNumberFormat="1" applyFont="1" applyFill="1" applyBorder="1" applyAlignment="1">
      <alignment vertical="center"/>
    </xf>
    <xf numFmtId="0" fontId="18" fillId="3" borderId="12" xfId="0" applyFont="1" applyFill="1" applyBorder="1" applyAlignment="1">
      <alignment vertical="center"/>
    </xf>
    <xf numFmtId="0" fontId="30" fillId="6" borderId="59" xfId="0" applyFont="1" applyFill="1" applyBorder="1" applyAlignment="1">
      <alignment vertical="center"/>
    </xf>
    <xf numFmtId="0" fontId="34" fillId="6" borderId="17" xfId="0" applyFont="1" applyFill="1" applyBorder="1" applyAlignment="1">
      <alignment vertical="center"/>
    </xf>
    <xf numFmtId="0" fontId="30" fillId="6" borderId="18" xfId="0" applyFont="1" applyFill="1" applyBorder="1" applyAlignment="1">
      <alignment vertical="center"/>
    </xf>
    <xf numFmtId="0" fontId="43" fillId="5" borderId="19" xfId="0" applyFont="1" applyFill="1" applyBorder="1" applyAlignment="1" applyProtection="1">
      <alignment vertical="center"/>
      <protection locked="0"/>
    </xf>
    <xf numFmtId="0" fontId="34" fillId="6" borderId="77" xfId="0" applyFont="1" applyFill="1" applyBorder="1" applyAlignment="1">
      <alignment vertical="center"/>
    </xf>
    <xf numFmtId="0" fontId="0" fillId="3" borderId="78" xfId="0" applyFill="1" applyBorder="1"/>
    <xf numFmtId="179" fontId="4" fillId="3" borderId="48" xfId="0" applyNumberFormat="1" applyFont="1" applyFill="1" applyBorder="1" applyAlignment="1">
      <alignment vertical="center"/>
    </xf>
    <xf numFmtId="179" fontId="4" fillId="3" borderId="79" xfId="0" applyNumberFormat="1" applyFont="1" applyFill="1" applyBorder="1" applyAlignment="1">
      <alignment vertical="center"/>
    </xf>
    <xf numFmtId="172" fontId="4" fillId="3" borderId="80" xfId="0" applyNumberFormat="1" applyFont="1" applyFill="1" applyBorder="1" applyAlignment="1">
      <alignment vertical="center"/>
    </xf>
    <xf numFmtId="13" fontId="27" fillId="3" borderId="7" xfId="0" applyNumberFormat="1" applyFont="1" applyFill="1" applyBorder="1" applyAlignment="1">
      <alignment vertical="center"/>
    </xf>
    <xf numFmtId="0" fontId="0" fillId="3" borderId="81" xfId="0" applyFill="1" applyBorder="1" applyAlignment="1">
      <alignment vertical="center"/>
    </xf>
    <xf numFmtId="2" fontId="27" fillId="3" borderId="82" xfId="0" applyNumberFormat="1" applyFont="1" applyFill="1" applyBorder="1" applyAlignment="1">
      <alignment vertical="center"/>
    </xf>
    <xf numFmtId="2" fontId="50" fillId="3" borderId="83" xfId="0" applyNumberFormat="1" applyFont="1" applyFill="1" applyBorder="1" applyAlignment="1">
      <alignment vertical="center"/>
    </xf>
    <xf numFmtId="169" fontId="7" fillId="3" borderId="84" xfId="1" applyNumberFormat="1" applyFont="1" applyFill="1" applyBorder="1"/>
    <xf numFmtId="0" fontId="0" fillId="3" borderId="52" xfId="0" applyFill="1" applyBorder="1" applyAlignment="1" applyProtection="1">
      <alignment vertical="center"/>
      <protection locked="0"/>
    </xf>
    <xf numFmtId="0" fontId="0" fillId="3" borderId="48" xfId="0" applyFill="1" applyBorder="1" applyAlignment="1" applyProtection="1">
      <alignment vertical="center"/>
      <protection locked="0"/>
    </xf>
    <xf numFmtId="12" fontId="27" fillId="3" borderId="85" xfId="0" applyNumberFormat="1" applyFont="1" applyFill="1" applyBorder="1" applyAlignment="1">
      <alignment vertical="center"/>
    </xf>
    <xf numFmtId="12" fontId="27" fillId="3" borderId="86" xfId="0" applyNumberFormat="1" applyFont="1" applyFill="1" applyBorder="1" applyAlignment="1">
      <alignment vertical="center"/>
    </xf>
    <xf numFmtId="12" fontId="27" fillId="3" borderId="87" xfId="0" applyNumberFormat="1" applyFont="1" applyFill="1" applyBorder="1" applyAlignment="1">
      <alignment vertical="center"/>
    </xf>
    <xf numFmtId="0" fontId="29" fillId="4" borderId="27" xfId="0" applyFont="1" applyFill="1" applyBorder="1" applyAlignment="1">
      <alignment vertical="center"/>
    </xf>
    <xf numFmtId="0" fontId="29" fillId="4" borderId="88" xfId="0" applyFont="1" applyFill="1" applyBorder="1" applyAlignment="1">
      <alignment vertical="center"/>
    </xf>
    <xf numFmtId="12" fontId="27" fillId="3" borderId="7" xfId="0" applyNumberFormat="1" applyFont="1" applyFill="1" applyBorder="1" applyAlignment="1">
      <alignment vertical="center"/>
    </xf>
    <xf numFmtId="0" fontId="30" fillId="6" borderId="16" xfId="0" applyFont="1" applyFill="1" applyBorder="1" applyAlignment="1">
      <alignment horizontal="center" vertical="center"/>
    </xf>
    <xf numFmtId="0" fontId="30" fillId="6" borderId="18" xfId="0" applyFont="1" applyFill="1" applyBorder="1" applyAlignment="1">
      <alignment horizontal="center" vertical="center"/>
    </xf>
    <xf numFmtId="0" fontId="9" fillId="3" borderId="0" xfId="0" applyFont="1" applyFill="1" applyAlignment="1" applyProtection="1">
      <alignment vertical="center"/>
    </xf>
    <xf numFmtId="0" fontId="0" fillId="6" borderId="18" xfId="0" applyFill="1" applyBorder="1" applyAlignment="1">
      <alignment vertical="center"/>
    </xf>
    <xf numFmtId="0" fontId="29" fillId="4" borderId="89" xfId="0" applyFont="1" applyFill="1" applyBorder="1" applyAlignment="1">
      <alignment horizontal="center" vertical="center"/>
    </xf>
    <xf numFmtId="0" fontId="51" fillId="4" borderId="90" xfId="0" applyFont="1" applyFill="1" applyBorder="1" applyAlignment="1" applyProtection="1">
      <alignment horizontal="center" vertical="center"/>
      <protection locked="0"/>
    </xf>
    <xf numFmtId="0" fontId="29" fillId="4" borderId="91" xfId="0" applyFont="1" applyFill="1" applyBorder="1" applyAlignment="1">
      <alignment horizontal="center" vertical="center"/>
    </xf>
    <xf numFmtId="0" fontId="29" fillId="4" borderId="92" xfId="0" applyFont="1" applyFill="1" applyBorder="1" applyAlignment="1">
      <alignment horizontal="center" vertical="center"/>
    </xf>
    <xf numFmtId="0" fontId="53" fillId="5" borderId="5" xfId="0" applyFont="1" applyFill="1" applyBorder="1" applyAlignment="1" applyProtection="1">
      <alignment horizontal="center" vertical="center"/>
      <protection locked="0"/>
    </xf>
    <xf numFmtId="0" fontId="53" fillId="5" borderId="6" xfId="0" applyFont="1" applyFill="1" applyBorder="1" applyAlignment="1" applyProtection="1">
      <alignment horizontal="center" vertical="center"/>
      <protection locked="0"/>
    </xf>
    <xf numFmtId="0" fontId="53" fillId="5" borderId="7" xfId="0" applyFont="1" applyFill="1" applyBorder="1" applyAlignment="1" applyProtection="1">
      <alignment horizontal="center" vertical="center"/>
      <protection locked="0"/>
    </xf>
    <xf numFmtId="0" fontId="54" fillId="5" borderId="0" xfId="0" applyFont="1" applyFill="1" applyBorder="1" applyProtection="1">
      <protection locked="0"/>
    </xf>
    <xf numFmtId="0" fontId="0" fillId="5" borderId="0" xfId="0" applyFill="1" applyBorder="1"/>
    <xf numFmtId="0" fontId="0" fillId="3" borderId="93" xfId="0" applyFill="1" applyBorder="1" applyProtection="1"/>
    <xf numFmtId="0" fontId="0" fillId="3" borderId="94" xfId="0" applyFill="1" applyBorder="1" applyProtection="1"/>
    <xf numFmtId="37" fontId="0" fillId="3" borderId="84" xfId="0" applyNumberFormat="1" applyFill="1" applyBorder="1" applyProtection="1"/>
    <xf numFmtId="0" fontId="0" fillId="3" borderId="95" xfId="0" applyFill="1" applyBorder="1" applyProtection="1"/>
    <xf numFmtId="169" fontId="0" fillId="3" borderId="96" xfId="1" applyNumberFormat="1" applyFont="1" applyFill="1" applyBorder="1" applyProtection="1"/>
    <xf numFmtId="0" fontId="0" fillId="3" borderId="97" xfId="0" applyFill="1" applyBorder="1" applyProtection="1"/>
    <xf numFmtId="0" fontId="0" fillId="3" borderId="98" xfId="0" applyFill="1" applyBorder="1" applyProtection="1"/>
    <xf numFmtId="171" fontId="0" fillId="3" borderId="96" xfId="1" applyFont="1" applyFill="1" applyBorder="1" applyProtection="1"/>
    <xf numFmtId="0" fontId="0" fillId="3" borderId="99" xfId="0" applyFill="1" applyBorder="1" applyProtection="1"/>
    <xf numFmtId="0" fontId="0" fillId="6" borderId="100" xfId="0" applyFill="1" applyBorder="1" applyProtection="1"/>
    <xf numFmtId="0" fontId="0" fillId="6" borderId="101" xfId="0" applyFill="1" applyBorder="1" applyProtection="1"/>
    <xf numFmtId="0" fontId="5" fillId="6" borderId="102" xfId="0" applyFont="1" applyFill="1" applyBorder="1" applyProtection="1"/>
    <xf numFmtId="0" fontId="0" fillId="3" borderId="103" xfId="0" applyFill="1" applyBorder="1" applyProtection="1"/>
    <xf numFmtId="0" fontId="0" fillId="3" borderId="104" xfId="0" applyFill="1" applyBorder="1" applyProtection="1"/>
    <xf numFmtId="171" fontId="0" fillId="3" borderId="105" xfId="1" applyFont="1" applyFill="1" applyBorder="1" applyProtection="1"/>
    <xf numFmtId="171" fontId="9" fillId="3" borderId="106" xfId="1" applyFont="1" applyFill="1" applyBorder="1" applyProtection="1"/>
    <xf numFmtId="37" fontId="8" fillId="5" borderId="106" xfId="1" applyNumberFormat="1" applyFont="1" applyFill="1" applyBorder="1" applyProtection="1">
      <protection locked="0"/>
    </xf>
    <xf numFmtId="171" fontId="8" fillId="5" borderId="106" xfId="1" applyFont="1" applyFill="1" applyBorder="1" applyProtection="1">
      <protection locked="0"/>
    </xf>
    <xf numFmtId="0" fontId="46" fillId="3" borderId="69" xfId="0" applyFont="1" applyFill="1" applyBorder="1" applyAlignment="1">
      <alignment horizontal="center" vertical="center" wrapText="1"/>
    </xf>
    <xf numFmtId="0" fontId="6" fillId="6" borderId="3" xfId="0" applyFont="1" applyFill="1" applyBorder="1" applyAlignment="1">
      <alignment vertical="center"/>
    </xf>
    <xf numFmtId="0" fontId="34" fillId="6" borderId="107" xfId="0" applyFont="1" applyFill="1" applyBorder="1" applyAlignment="1">
      <alignment horizontal="left" vertical="center"/>
    </xf>
    <xf numFmtId="0" fontId="34" fillId="6" borderId="56" xfId="0" applyFont="1" applyFill="1" applyBorder="1" applyAlignment="1">
      <alignment horizontal="left" vertical="center"/>
    </xf>
    <xf numFmtId="0" fontId="0" fillId="6" borderId="21" xfId="0" applyFill="1" applyBorder="1"/>
    <xf numFmtId="0" fontId="0" fillId="6" borderId="29" xfId="0" applyFill="1" applyBorder="1"/>
    <xf numFmtId="13" fontId="27" fillId="3" borderId="4" xfId="0" applyNumberFormat="1" applyFont="1" applyFill="1" applyBorder="1" applyAlignment="1">
      <alignment vertical="center"/>
    </xf>
    <xf numFmtId="13" fontId="27" fillId="3" borderId="3" xfId="0" applyNumberFormat="1" applyFont="1" applyFill="1" applyBorder="1" applyAlignment="1">
      <alignment vertical="center"/>
    </xf>
    <xf numFmtId="13" fontId="27" fillId="3" borderId="5" xfId="0" applyNumberFormat="1" applyFont="1" applyFill="1" applyBorder="1" applyAlignment="1">
      <alignment vertical="center"/>
    </xf>
    <xf numFmtId="0" fontId="52" fillId="3" borderId="106" xfId="0" applyFont="1" applyFill="1" applyBorder="1" applyProtection="1"/>
    <xf numFmtId="13" fontId="44" fillId="3" borderId="8" xfId="0" applyNumberFormat="1" applyFont="1" applyFill="1" applyBorder="1" applyAlignment="1">
      <alignment horizontal="right" vertical="center"/>
    </xf>
    <xf numFmtId="13" fontId="44" fillId="3" borderId="2" xfId="0" applyNumberFormat="1" applyFont="1" applyFill="1" applyBorder="1" applyAlignment="1">
      <alignment horizontal="right" vertical="center"/>
    </xf>
    <xf numFmtId="13" fontId="44" fillId="3" borderId="6" xfId="0" applyNumberFormat="1" applyFont="1" applyFill="1" applyBorder="1" applyAlignment="1">
      <alignment horizontal="right" vertical="center"/>
    </xf>
    <xf numFmtId="0" fontId="39" fillId="3" borderId="0" xfId="0" applyFont="1" applyFill="1" applyBorder="1" applyAlignment="1">
      <alignment vertical="center"/>
    </xf>
    <xf numFmtId="13" fontId="44" fillId="3" borderId="0" xfId="0" applyNumberFormat="1" applyFont="1" applyFill="1" applyBorder="1" applyAlignment="1">
      <alignment horizontal="right" vertical="center"/>
    </xf>
    <xf numFmtId="0" fontId="0" fillId="3" borderId="0" xfId="0" applyFill="1" applyBorder="1" applyAlignment="1">
      <alignment vertical="center"/>
    </xf>
    <xf numFmtId="13" fontId="56" fillId="3" borderId="18" xfId="0" applyNumberFormat="1" applyFont="1" applyFill="1" applyBorder="1" applyAlignment="1">
      <alignment horizontal="right" vertical="center"/>
    </xf>
    <xf numFmtId="13" fontId="56" fillId="3" borderId="66" xfId="0" applyNumberFormat="1" applyFont="1" applyFill="1" applyBorder="1" applyAlignment="1">
      <alignment horizontal="right" vertical="center"/>
    </xf>
    <xf numFmtId="13" fontId="56" fillId="3" borderId="108" xfId="0" applyNumberFormat="1" applyFont="1" applyFill="1" applyBorder="1" applyAlignment="1">
      <alignment horizontal="right" vertical="center"/>
    </xf>
    <xf numFmtId="12" fontId="27" fillId="3" borderId="11" xfId="0" applyNumberFormat="1" applyFont="1" applyFill="1" applyBorder="1" applyAlignment="1">
      <alignment vertical="center"/>
    </xf>
    <xf numFmtId="12" fontId="27" fillId="3" borderId="14" xfId="0" applyNumberFormat="1" applyFont="1" applyFill="1" applyBorder="1" applyAlignment="1">
      <alignment vertical="center"/>
    </xf>
    <xf numFmtId="0" fontId="0" fillId="4" borderId="109" xfId="0" applyFill="1" applyBorder="1" applyAlignment="1" applyProtection="1">
      <alignment horizontal="center" vertical="center"/>
      <protection locked="0"/>
    </xf>
    <xf numFmtId="12" fontId="27" fillId="3" borderId="2" xfId="0" applyNumberFormat="1" applyFont="1" applyFill="1" applyBorder="1" applyAlignment="1">
      <alignment vertical="center"/>
    </xf>
    <xf numFmtId="0" fontId="25" fillId="3" borderId="0" xfId="0" applyFont="1" applyFill="1" applyAlignment="1">
      <alignment vertical="top"/>
    </xf>
    <xf numFmtId="0" fontId="39" fillId="3" borderId="70" xfId="0" applyFont="1" applyFill="1" applyBorder="1" applyAlignment="1">
      <alignment vertical="center"/>
    </xf>
    <xf numFmtId="0" fontId="39" fillId="3" borderId="21" xfId="0" applyFont="1" applyFill="1" applyBorder="1" applyAlignment="1">
      <alignment vertical="center"/>
    </xf>
    <xf numFmtId="0" fontId="39" fillId="3" borderId="22" xfId="0" applyFont="1" applyFill="1" applyBorder="1" applyAlignment="1">
      <alignment vertical="center"/>
    </xf>
    <xf numFmtId="0" fontId="39" fillId="3" borderId="110" xfId="0" applyFont="1" applyFill="1" applyBorder="1" applyAlignment="1">
      <alignment vertical="center"/>
    </xf>
    <xf numFmtId="0" fontId="39" fillId="3" borderId="29" xfId="0" applyFont="1" applyFill="1" applyBorder="1" applyAlignment="1">
      <alignment vertical="center"/>
    </xf>
    <xf numFmtId="0" fontId="39" fillId="3" borderId="111" xfId="0" applyFont="1" applyFill="1" applyBorder="1" applyAlignment="1">
      <alignment vertical="center"/>
    </xf>
    <xf numFmtId="0" fontId="2" fillId="3" borderId="0" xfId="0" applyFont="1" applyFill="1" applyAlignment="1">
      <alignment horizontal="center"/>
    </xf>
    <xf numFmtId="0" fontId="0" fillId="3" borderId="11" xfId="0" applyFill="1" applyBorder="1" applyAlignment="1" applyProtection="1">
      <alignment horizontal="right" vertical="center"/>
      <protection locked="0"/>
    </xf>
    <xf numFmtId="0" fontId="51" fillId="4" borderId="112" xfId="0" applyFont="1" applyFill="1" applyBorder="1" applyAlignment="1" applyProtection="1">
      <alignment horizontal="right" vertical="center"/>
      <protection locked="0"/>
    </xf>
    <xf numFmtId="1" fontId="57" fillId="3" borderId="72" xfId="1" applyNumberFormat="1" applyFont="1" applyFill="1" applyBorder="1" applyAlignment="1">
      <alignment horizontal="right" vertical="center"/>
    </xf>
    <xf numFmtId="12" fontId="0" fillId="3" borderId="113" xfId="0" applyNumberFormat="1" applyFill="1" applyBorder="1" applyAlignment="1">
      <alignment vertical="center"/>
    </xf>
    <xf numFmtId="0" fontId="55" fillId="3" borderId="0" xfId="0" applyFont="1" applyFill="1" applyAlignment="1" applyProtection="1">
      <alignment vertical="center"/>
    </xf>
    <xf numFmtId="0" fontId="2" fillId="3" borderId="0" xfId="0" applyFont="1" applyFill="1"/>
    <xf numFmtId="0" fontId="5" fillId="6" borderId="114" xfId="0" applyFont="1" applyFill="1" applyBorder="1" applyProtection="1"/>
    <xf numFmtId="0" fontId="0" fillId="6" borderId="115" xfId="0" applyFill="1" applyBorder="1" applyProtection="1"/>
    <xf numFmtId="0" fontId="0" fillId="3" borderId="116" xfId="0" applyFill="1" applyBorder="1" applyProtection="1"/>
    <xf numFmtId="0" fontId="0" fillId="3" borderId="74" xfId="0" applyFill="1" applyBorder="1" applyProtection="1"/>
    <xf numFmtId="0" fontId="0" fillId="3" borderId="117" xfId="0" applyFill="1" applyBorder="1" applyProtection="1"/>
    <xf numFmtId="0" fontId="0" fillId="3" borderId="118" xfId="0" applyFill="1" applyBorder="1" applyProtection="1"/>
    <xf numFmtId="13" fontId="0" fillId="3" borderId="119" xfId="0" applyNumberFormat="1" applyFill="1" applyBorder="1" applyProtection="1"/>
    <xf numFmtId="172" fontId="0" fillId="3" borderId="0" xfId="1" applyNumberFormat="1" applyFont="1" applyFill="1" applyBorder="1" applyProtection="1"/>
    <xf numFmtId="196" fontId="52" fillId="3" borderId="0" xfId="0" applyNumberFormat="1" applyFont="1" applyFill="1" applyBorder="1" applyProtection="1"/>
    <xf numFmtId="195" fontId="0" fillId="3" borderId="94" xfId="1" applyNumberFormat="1" applyFont="1" applyFill="1" applyBorder="1" applyProtection="1"/>
    <xf numFmtId="172" fontId="0" fillId="3" borderId="94" xfId="1" applyNumberFormat="1" applyFont="1" applyFill="1" applyBorder="1" applyProtection="1"/>
    <xf numFmtId="0" fontId="0" fillId="3" borderId="120" xfId="0" applyFill="1" applyBorder="1" applyProtection="1"/>
    <xf numFmtId="0" fontId="8" fillId="5" borderId="121" xfId="0" applyFont="1" applyFill="1" applyBorder="1" applyProtection="1">
      <protection locked="0"/>
    </xf>
    <xf numFmtId="0" fontId="8" fillId="5" borderId="94" xfId="0" applyFont="1" applyFill="1" applyBorder="1" applyProtection="1">
      <protection locked="0"/>
    </xf>
    <xf numFmtId="39" fontId="8" fillId="0" borderId="34" xfId="0" applyNumberFormat="1" applyFont="1" applyBorder="1" applyProtection="1">
      <protection locked="0"/>
    </xf>
    <xf numFmtId="39" fontId="9" fillId="3" borderId="49" xfId="1" applyNumberFormat="1" applyFont="1" applyFill="1" applyBorder="1" applyProtection="1"/>
    <xf numFmtId="0" fontId="60" fillId="3" borderId="0" xfId="0" applyFont="1" applyFill="1" applyAlignment="1">
      <alignment vertical="center"/>
    </xf>
    <xf numFmtId="12" fontId="0" fillId="3" borderId="0" xfId="0" applyNumberFormat="1" applyFill="1" applyAlignment="1">
      <alignment vertical="center"/>
    </xf>
    <xf numFmtId="183" fontId="27" fillId="3" borderId="4" xfId="0" applyNumberFormat="1" applyFont="1" applyFill="1" applyBorder="1" applyAlignment="1">
      <alignment vertical="center"/>
    </xf>
    <xf numFmtId="183" fontId="0" fillId="3" borderId="94" xfId="0" applyNumberFormat="1" applyFill="1" applyBorder="1" applyProtection="1"/>
    <xf numFmtId="172" fontId="0" fillId="3" borderId="94" xfId="0" applyNumberFormat="1" applyFill="1" applyBorder="1" applyProtection="1"/>
    <xf numFmtId="0" fontId="0" fillId="0" borderId="0" xfId="0" applyNumberFormat="1"/>
    <xf numFmtId="182" fontId="0" fillId="0" borderId="0" xfId="1" applyNumberFormat="1" applyFont="1"/>
    <xf numFmtId="195" fontId="0" fillId="0" borderId="0" xfId="1" applyNumberFormat="1" applyFont="1"/>
    <xf numFmtId="182" fontId="0" fillId="7" borderId="1" xfId="1" applyNumberFormat="1" applyFont="1" applyFill="1" applyBorder="1"/>
    <xf numFmtId="182" fontId="0" fillId="8" borderId="1" xfId="1" applyNumberFormat="1" applyFont="1" applyFill="1" applyBorder="1"/>
    <xf numFmtId="198" fontId="0" fillId="8" borderId="1" xfId="0" applyNumberFormat="1" applyFill="1" applyBorder="1"/>
    <xf numFmtId="199" fontId="0" fillId="8" borderId="1" xfId="0" applyNumberFormat="1" applyFill="1" applyBorder="1"/>
    <xf numFmtId="199" fontId="0" fillId="0" borderId="0" xfId="0" applyNumberFormat="1"/>
    <xf numFmtId="200" fontId="14" fillId="0" borderId="1" xfId="0" applyNumberFormat="1" applyFont="1" applyFill="1" applyBorder="1"/>
    <xf numFmtId="198" fontId="0" fillId="0" borderId="0" xfId="0" applyNumberFormat="1" applyFill="1" applyBorder="1"/>
    <xf numFmtId="0" fontId="0" fillId="3" borderId="58" xfId="0" applyFill="1" applyBorder="1" applyProtection="1">
      <protection locked="0"/>
    </xf>
    <xf numFmtId="200" fontId="22" fillId="3" borderId="1" xfId="0" applyNumberFormat="1" applyFont="1" applyFill="1" applyBorder="1"/>
    <xf numFmtId="199" fontId="0" fillId="3" borderId="0" xfId="0" applyNumberFormat="1" applyFill="1"/>
    <xf numFmtId="198" fontId="0" fillId="3" borderId="0" xfId="0" applyNumberFormat="1" applyFill="1"/>
    <xf numFmtId="0" fontId="5" fillId="4" borderId="42" xfId="0" applyFont="1" applyFill="1" applyBorder="1" applyAlignment="1">
      <alignment horizontal="center"/>
    </xf>
    <xf numFmtId="0" fontId="5" fillId="4" borderId="45" xfId="0" applyFont="1" applyFill="1" applyBorder="1" applyAlignment="1">
      <alignment horizontal="center"/>
    </xf>
    <xf numFmtId="0" fontId="52" fillId="3" borderId="0" xfId="0" applyFont="1" applyFill="1" applyProtection="1"/>
    <xf numFmtId="0" fontId="0" fillId="3" borderId="122" xfId="0" applyFill="1" applyBorder="1" applyProtection="1"/>
    <xf numFmtId="0" fontId="0" fillId="3" borderId="123" xfId="0" applyFill="1" applyBorder="1" applyProtection="1"/>
    <xf numFmtId="0" fontId="0" fillId="3" borderId="124" xfId="0" applyFill="1" applyBorder="1" applyProtection="1"/>
    <xf numFmtId="0" fontId="0" fillId="3" borderId="125" xfId="0" applyFill="1" applyBorder="1" applyProtection="1"/>
    <xf numFmtId="0" fontId="0" fillId="3" borderId="126" xfId="0" applyFill="1" applyBorder="1" applyProtection="1"/>
    <xf numFmtId="0" fontId="0" fillId="3" borderId="127" xfId="0" applyFill="1" applyBorder="1" applyProtection="1"/>
    <xf numFmtId="0" fontId="0" fillId="3" borderId="128" xfId="0" applyFill="1" applyBorder="1" applyProtection="1"/>
    <xf numFmtId="0" fontId="0" fillId="3" borderId="129" xfId="0" applyFill="1" applyBorder="1" applyProtection="1"/>
    <xf numFmtId="0" fontId="0" fillId="3" borderId="123" xfId="0" applyFill="1" applyBorder="1" applyAlignment="1"/>
    <xf numFmtId="183" fontId="0" fillId="3" borderId="0" xfId="0" applyNumberFormat="1" applyFill="1" applyBorder="1" applyProtection="1"/>
    <xf numFmtId="0" fontId="59" fillId="3" borderId="0" xfId="0" applyFont="1" applyFill="1" applyBorder="1" applyProtection="1"/>
    <xf numFmtId="169" fontId="0" fillId="3" borderId="0" xfId="1" applyNumberFormat="1" applyFont="1" applyFill="1" applyBorder="1" applyProtection="1"/>
    <xf numFmtId="0" fontId="2" fillId="3" borderId="0" xfId="0" applyFont="1" applyFill="1" applyBorder="1" applyProtection="1"/>
    <xf numFmtId="0" fontId="40" fillId="3" borderId="126" xfId="0" applyFont="1" applyFill="1" applyBorder="1" applyAlignment="1" applyProtection="1">
      <alignment horizontal="center"/>
    </xf>
    <xf numFmtId="181" fontId="9" fillId="3" borderId="125" xfId="1" applyNumberFormat="1" applyFont="1" applyFill="1" applyBorder="1" applyProtection="1"/>
    <xf numFmtId="0" fontId="40" fillId="3" borderId="126" xfId="0" applyFont="1" applyFill="1" applyBorder="1" applyProtection="1"/>
    <xf numFmtId="183" fontId="9" fillId="3" borderId="44" xfId="1" applyNumberFormat="1" applyFont="1" applyFill="1" applyBorder="1" applyAlignment="1" applyProtection="1"/>
    <xf numFmtId="182" fontId="9" fillId="3" borderId="0" xfId="1" applyNumberFormat="1" applyFont="1" applyFill="1" applyBorder="1" applyProtection="1"/>
    <xf numFmtId="0" fontId="0" fillId="3" borderId="0" xfId="0" applyFill="1" applyBorder="1" applyAlignment="1"/>
    <xf numFmtId="0" fontId="0" fillId="3" borderId="130" xfId="0" applyFill="1" applyBorder="1" applyProtection="1"/>
    <xf numFmtId="0" fontId="52" fillId="3" borderId="0" xfId="0" applyFont="1" applyFill="1" applyBorder="1" applyProtection="1"/>
    <xf numFmtId="0" fontId="52" fillId="3" borderId="126" xfId="0" applyFont="1" applyFill="1" applyBorder="1" applyProtection="1"/>
    <xf numFmtId="0" fontId="0" fillId="3" borderId="0" xfId="0" applyFill="1" applyBorder="1" applyAlignment="1" applyProtection="1">
      <alignment horizontal="center"/>
    </xf>
    <xf numFmtId="0" fontId="22" fillId="3" borderId="0" xfId="0" applyFont="1" applyFill="1" applyBorder="1" applyAlignment="1" applyProtection="1">
      <alignment horizontal="center"/>
    </xf>
    <xf numFmtId="0" fontId="0" fillId="3" borderId="1" xfId="0" applyFill="1" applyBorder="1" applyProtection="1"/>
    <xf numFmtId="182" fontId="0" fillId="3" borderId="1" xfId="1" applyNumberFormat="1" applyFont="1" applyFill="1" applyBorder="1" applyProtection="1"/>
    <xf numFmtId="182" fontId="0" fillId="3" borderId="0" xfId="1" applyNumberFormat="1" applyFont="1" applyFill="1" applyBorder="1" applyProtection="1"/>
    <xf numFmtId="195" fontId="1" fillId="3" borderId="1" xfId="1" applyNumberFormat="1" applyFont="1" applyFill="1" applyBorder="1" applyProtection="1"/>
    <xf numFmtId="0" fontId="0" fillId="3" borderId="125" xfId="0" applyFill="1" applyBorder="1" applyAlignment="1" applyProtection="1">
      <alignment horizontal="center"/>
    </xf>
    <xf numFmtId="0" fontId="0" fillId="3" borderId="126" xfId="0" applyFill="1" applyBorder="1" applyAlignment="1" applyProtection="1">
      <alignment horizontal="center"/>
    </xf>
    <xf numFmtId="182" fontId="0" fillId="3" borderId="126" xfId="1" applyNumberFormat="1" applyFont="1" applyFill="1" applyBorder="1" applyProtection="1"/>
    <xf numFmtId="195" fontId="0" fillId="3" borderId="1" xfId="1" applyNumberFormat="1" applyFont="1" applyFill="1" applyBorder="1" applyProtection="1"/>
    <xf numFmtId="0" fontId="5" fillId="3" borderId="0" xfId="0" applyFont="1" applyFill="1" applyBorder="1" applyProtection="1"/>
    <xf numFmtId="195" fontId="0" fillId="9" borderId="1" xfId="1" applyNumberFormat="1" applyFont="1" applyFill="1" applyBorder="1" applyProtection="1"/>
    <xf numFmtId="195" fontId="1" fillId="9" borderId="1" xfId="1" applyNumberFormat="1" applyFont="1" applyFill="1" applyBorder="1" applyProtection="1"/>
    <xf numFmtId="195" fontId="0" fillId="8" borderId="1" xfId="1" applyNumberFormat="1" applyFont="1" applyFill="1" applyBorder="1" applyProtection="1"/>
    <xf numFmtId="195" fontId="1" fillId="8" borderId="1" xfId="1" applyNumberFormat="1" applyFont="1" applyFill="1" applyBorder="1" applyProtection="1"/>
    <xf numFmtId="195" fontId="0" fillId="10" borderId="1" xfId="1" applyNumberFormat="1" applyFont="1" applyFill="1" applyBorder="1" applyProtection="1"/>
    <xf numFmtId="195" fontId="1" fillId="10" borderId="1" xfId="1" applyNumberFormat="1" applyFont="1" applyFill="1" applyBorder="1" applyProtection="1"/>
    <xf numFmtId="0" fontId="5" fillId="4" borderId="0" xfId="0" applyFont="1" applyFill="1"/>
    <xf numFmtId="0" fontId="5" fillId="3" borderId="0" xfId="0" applyFont="1" applyFill="1"/>
    <xf numFmtId="0" fontId="0" fillId="3" borderId="60" xfId="0" applyFill="1" applyBorder="1" applyAlignment="1" applyProtection="1">
      <alignment horizontal="center"/>
      <protection locked="0"/>
    </xf>
    <xf numFmtId="0" fontId="0" fillId="3" borderId="0" xfId="0" applyFill="1" applyBorder="1" applyProtection="1">
      <protection locked="0"/>
    </xf>
    <xf numFmtId="0" fontId="0" fillId="3" borderId="48" xfId="0" applyFill="1" applyBorder="1" applyProtection="1">
      <protection locked="0"/>
    </xf>
    <xf numFmtId="0" fontId="0" fillId="3" borderId="14" xfId="0" applyFill="1" applyBorder="1" applyProtection="1">
      <protection locked="0"/>
    </xf>
    <xf numFmtId="0" fontId="0" fillId="3" borderId="15" xfId="0" applyFill="1" applyBorder="1" applyProtection="1">
      <protection locked="0"/>
    </xf>
    <xf numFmtId="0" fontId="58" fillId="3" borderId="0" xfId="0" applyFont="1" applyFill="1" applyBorder="1" applyProtection="1"/>
    <xf numFmtId="0" fontId="3" fillId="3" borderId="0" xfId="0" applyFont="1" applyFill="1" applyProtection="1">
      <protection locked="0"/>
    </xf>
    <xf numFmtId="171" fontId="3" fillId="3" borderId="1" xfId="1" applyNumberFormat="1" applyFont="1" applyFill="1" applyBorder="1"/>
    <xf numFmtId="195" fontId="22" fillId="3" borderId="0" xfId="1" applyNumberFormat="1" applyFont="1" applyFill="1" applyAlignment="1">
      <alignment horizontal="center"/>
    </xf>
    <xf numFmtId="2" fontId="0" fillId="3" borderId="0" xfId="0" applyNumberFormat="1" applyFill="1"/>
    <xf numFmtId="202" fontId="0" fillId="3" borderId="0" xfId="0" applyNumberFormat="1" applyFill="1"/>
    <xf numFmtId="2" fontId="0" fillId="3" borderId="0" xfId="0" applyNumberFormat="1" applyFill="1" applyBorder="1"/>
    <xf numFmtId="198" fontId="0" fillId="3" borderId="0" xfId="0" applyNumberFormat="1" applyFill="1" applyBorder="1"/>
    <xf numFmtId="0" fontId="0" fillId="3" borderId="0" xfId="0" applyFill="1" applyBorder="1"/>
    <xf numFmtId="0" fontId="65" fillId="4" borderId="0" xfId="0" applyFont="1" applyFill="1"/>
    <xf numFmtId="0" fontId="65" fillId="3" borderId="0" xfId="0" applyFont="1" applyFill="1"/>
    <xf numFmtId="0" fontId="0" fillId="3" borderId="0" xfId="0" applyFill="1" applyAlignment="1">
      <alignment horizontal="right"/>
    </xf>
    <xf numFmtId="200" fontId="0" fillId="3" borderId="1" xfId="0" applyNumberFormat="1" applyFill="1" applyBorder="1"/>
    <xf numFmtId="183" fontId="0" fillId="3" borderId="1" xfId="0" applyNumberFormat="1" applyFill="1" applyBorder="1"/>
    <xf numFmtId="0" fontId="52" fillId="3" borderId="0" xfId="0" applyFont="1" applyFill="1"/>
    <xf numFmtId="202" fontId="52" fillId="3" borderId="0" xfId="0" applyNumberFormat="1" applyFont="1" applyFill="1"/>
    <xf numFmtId="198" fontId="52" fillId="3" borderId="0" xfId="0" applyNumberFormat="1" applyFont="1" applyFill="1"/>
    <xf numFmtId="199" fontId="52" fillId="3" borderId="0" xfId="0" applyNumberFormat="1" applyFont="1" applyFill="1" applyBorder="1"/>
    <xf numFmtId="198" fontId="52" fillId="3" borderId="0" xfId="0" applyNumberFormat="1" applyFont="1" applyFill="1" applyBorder="1"/>
    <xf numFmtId="0" fontId="64" fillId="4" borderId="122" xfId="0" applyFont="1" applyFill="1" applyBorder="1" applyAlignment="1">
      <alignment horizontal="right"/>
    </xf>
    <xf numFmtId="0" fontId="0" fillId="3" borderId="125" xfId="0" applyFill="1" applyBorder="1"/>
    <xf numFmtId="0" fontId="0" fillId="3" borderId="127" xfId="0" applyFill="1" applyBorder="1"/>
    <xf numFmtId="200" fontId="0" fillId="3" borderId="131" xfId="0" applyNumberFormat="1" applyFill="1" applyBorder="1"/>
    <xf numFmtId="198" fontId="0" fillId="3" borderId="128" xfId="0" applyNumberFormat="1" applyFill="1" applyBorder="1"/>
    <xf numFmtId="0" fontId="0" fillId="3" borderId="128" xfId="0" applyFill="1" applyBorder="1"/>
    <xf numFmtId="202" fontId="0" fillId="3" borderId="0" xfId="0" applyNumberFormat="1" applyFill="1" applyAlignment="1">
      <alignment horizontal="right"/>
    </xf>
    <xf numFmtId="198" fontId="0" fillId="3" borderId="0" xfId="0" applyNumberFormat="1" applyFill="1" applyAlignment="1">
      <alignment horizontal="right"/>
    </xf>
    <xf numFmtId="0" fontId="52" fillId="3" borderId="0" xfId="0" applyFont="1" applyFill="1" applyAlignment="1">
      <alignment horizontal="right"/>
    </xf>
    <xf numFmtId="201" fontId="8" fillId="0" borderId="132" xfId="1" applyNumberFormat="1" applyFont="1" applyFill="1" applyBorder="1"/>
    <xf numFmtId="202" fontId="8" fillId="0" borderId="133" xfId="0" applyNumberFormat="1" applyFont="1" applyFill="1" applyBorder="1"/>
    <xf numFmtId="202" fontId="8" fillId="0" borderId="134" xfId="0" applyNumberFormat="1" applyFont="1" applyFill="1" applyBorder="1"/>
    <xf numFmtId="2" fontId="0" fillId="3" borderId="135" xfId="0" applyNumberFormat="1" applyFill="1" applyBorder="1"/>
    <xf numFmtId="2" fontId="0" fillId="3" borderId="136" xfId="0" applyNumberFormat="1" applyFill="1" applyBorder="1"/>
    <xf numFmtId="0" fontId="0" fillId="3" borderId="135" xfId="0" applyFill="1" applyBorder="1"/>
    <xf numFmtId="0" fontId="0" fillId="3" borderId="136" xfId="0" applyFill="1" applyBorder="1"/>
    <xf numFmtId="198" fontId="0" fillId="3" borderId="137" xfId="0" applyNumberFormat="1" applyFill="1" applyBorder="1"/>
    <xf numFmtId="198" fontId="0" fillId="3" borderId="138" xfId="0" applyNumberFormat="1" applyFill="1" applyBorder="1"/>
    <xf numFmtId="198" fontId="52" fillId="3" borderId="138" xfId="0" applyNumberFormat="1" applyFont="1" applyFill="1" applyBorder="1"/>
    <xf numFmtId="198" fontId="0" fillId="3" borderId="139" xfId="0" applyNumberFormat="1" applyFill="1" applyBorder="1"/>
    <xf numFmtId="0" fontId="0" fillId="3" borderId="137" xfId="0" applyFill="1" applyBorder="1"/>
    <xf numFmtId="0" fontId="0" fillId="3" borderId="138" xfId="0" applyFill="1" applyBorder="1"/>
    <xf numFmtId="2" fontId="52" fillId="3" borderId="0" xfId="0" applyNumberFormat="1" applyFont="1" applyFill="1" applyBorder="1"/>
    <xf numFmtId="0" fontId="0" fillId="3" borderId="126" xfId="0" applyFill="1" applyBorder="1" applyProtection="1">
      <protection locked="0"/>
    </xf>
    <xf numFmtId="0" fontId="0" fillId="3" borderId="129" xfId="0" applyFill="1" applyBorder="1" applyProtection="1">
      <protection locked="0"/>
    </xf>
    <xf numFmtId="0" fontId="52" fillId="3" borderId="0" xfId="0" applyFont="1" applyFill="1" applyProtection="1">
      <protection locked="0"/>
    </xf>
    <xf numFmtId="183" fontId="0" fillId="3" borderId="131" xfId="0" applyNumberFormat="1" applyFill="1" applyBorder="1"/>
    <xf numFmtId="0" fontId="2" fillId="3" borderId="0" xfId="0" applyFont="1" applyFill="1" applyBorder="1"/>
    <xf numFmtId="0" fontId="60" fillId="4" borderId="0" xfId="0" applyFont="1" applyFill="1"/>
    <xf numFmtId="198" fontId="0" fillId="3" borderId="0" xfId="0" applyNumberFormat="1" applyFill="1" applyBorder="1" applyProtection="1">
      <protection locked="0"/>
    </xf>
    <xf numFmtId="198" fontId="8" fillId="0" borderId="140" xfId="0" applyNumberFormat="1" applyFont="1" applyFill="1" applyBorder="1"/>
    <xf numFmtId="198" fontId="0" fillId="3" borderId="125" xfId="0" applyNumberFormat="1" applyFill="1" applyBorder="1"/>
    <xf numFmtId="198" fontId="52" fillId="3" borderId="125" xfId="0" applyNumberFormat="1" applyFont="1" applyFill="1" applyBorder="1"/>
    <xf numFmtId="198" fontId="8" fillId="0" borderId="141" xfId="0" applyNumberFormat="1" applyFont="1" applyFill="1" applyBorder="1"/>
    <xf numFmtId="198" fontId="8" fillId="0" borderId="142" xfId="0" applyNumberFormat="1" applyFont="1" applyFill="1" applyBorder="1"/>
    <xf numFmtId="182" fontId="8" fillId="0" borderId="143" xfId="1" applyNumberFormat="1" applyFont="1" applyFill="1" applyBorder="1"/>
    <xf numFmtId="182" fontId="0" fillId="3" borderId="57" xfId="0" applyNumberFormat="1" applyFill="1" applyBorder="1"/>
    <xf numFmtId="182" fontId="52" fillId="3" borderId="144" xfId="0" applyNumberFormat="1" applyFont="1" applyFill="1" applyBorder="1"/>
    <xf numFmtId="182" fontId="8" fillId="0" borderId="145" xfId="1" applyNumberFormat="1" applyFont="1" applyFill="1" applyBorder="1"/>
    <xf numFmtId="182" fontId="0" fillId="3" borderId="144" xfId="0" applyNumberFormat="1" applyFill="1" applyBorder="1"/>
    <xf numFmtId="182" fontId="52" fillId="3" borderId="42" xfId="0" applyNumberFormat="1" applyFont="1" applyFill="1" applyBorder="1"/>
    <xf numFmtId="182" fontId="8" fillId="0" borderId="146" xfId="1" applyNumberFormat="1" applyFont="1" applyFill="1" applyBorder="1"/>
    <xf numFmtId="199" fontId="52" fillId="3" borderId="0" xfId="0" applyNumberFormat="1" applyFont="1" applyFill="1"/>
    <xf numFmtId="0" fontId="0" fillId="3" borderId="57" xfId="0" applyFill="1" applyBorder="1" applyProtection="1">
      <protection locked="0"/>
    </xf>
    <xf numFmtId="0" fontId="0" fillId="3" borderId="147" xfId="0" applyFill="1" applyBorder="1" applyProtection="1">
      <protection locked="0"/>
    </xf>
    <xf numFmtId="0" fontId="0" fillId="3" borderId="148" xfId="0" applyFill="1" applyBorder="1" applyProtection="1">
      <protection locked="0"/>
    </xf>
    <xf numFmtId="0" fontId="0" fillId="3" borderId="144" xfId="0" applyFill="1" applyBorder="1" applyProtection="1">
      <protection locked="0"/>
    </xf>
    <xf numFmtId="0" fontId="0" fillId="3" borderId="149" xfId="0" applyFill="1" applyBorder="1" applyProtection="1">
      <protection locked="0"/>
    </xf>
    <xf numFmtId="198" fontId="0" fillId="3" borderId="144" xfId="0" applyNumberFormat="1" applyFill="1" applyBorder="1" applyProtection="1">
      <protection locked="0"/>
    </xf>
    <xf numFmtId="0" fontId="0" fillId="3" borderId="42" xfId="0" applyFill="1" applyBorder="1" applyProtection="1">
      <protection locked="0"/>
    </xf>
    <xf numFmtId="0" fontId="0" fillId="3" borderId="41" xfId="0" applyFill="1" applyBorder="1" applyProtection="1">
      <protection locked="0"/>
    </xf>
    <xf numFmtId="0" fontId="0" fillId="3" borderId="45" xfId="0" applyFill="1" applyBorder="1" applyProtection="1">
      <protection locked="0"/>
    </xf>
    <xf numFmtId="183" fontId="3" fillId="3" borderId="1" xfId="1" applyNumberFormat="1" applyFont="1" applyFill="1" applyBorder="1"/>
    <xf numFmtId="37" fontId="3" fillId="3" borderId="1" xfId="1" applyNumberFormat="1" applyFont="1" applyFill="1" applyBorder="1" applyProtection="1"/>
    <xf numFmtId="171" fontId="3" fillId="3" borderId="1" xfId="1" applyFont="1" applyFill="1" applyBorder="1" applyProtection="1"/>
    <xf numFmtId="171" fontId="0" fillId="3" borderId="0" xfId="1" applyFont="1" applyFill="1" applyBorder="1" applyProtection="1">
      <protection locked="0"/>
    </xf>
    <xf numFmtId="0" fontId="2" fillId="3" borderId="0" xfId="0" applyFont="1" applyFill="1" applyBorder="1" applyAlignment="1" applyProtection="1">
      <alignment horizontal="right"/>
    </xf>
    <xf numFmtId="192" fontId="8" fillId="5" borderId="1" xfId="0" applyNumberFormat="1" applyFont="1" applyFill="1" applyBorder="1" applyAlignment="1" applyProtection="1">
      <alignment horizontal="center"/>
      <protection locked="0"/>
    </xf>
    <xf numFmtId="0" fontId="0" fillId="3" borderId="1" xfId="0" applyFill="1" applyBorder="1" applyAlignment="1" applyProtection="1">
      <alignment horizontal="center"/>
    </xf>
    <xf numFmtId="1" fontId="8" fillId="5" borderId="1" xfId="0" applyNumberFormat="1" applyFont="1" applyFill="1" applyBorder="1" applyAlignment="1" applyProtection="1">
      <alignment horizontal="center"/>
      <protection locked="0"/>
    </xf>
    <xf numFmtId="194" fontId="2" fillId="3" borderId="1" xfId="0" applyNumberFormat="1" applyFont="1" applyFill="1" applyBorder="1" applyAlignment="1" applyProtection="1">
      <alignment horizontal="center"/>
    </xf>
    <xf numFmtId="192" fontId="2" fillId="3" borderId="1" xfId="0" applyNumberFormat="1" applyFont="1" applyFill="1" applyBorder="1" applyAlignment="1" applyProtection="1">
      <alignment horizontal="center"/>
    </xf>
    <xf numFmtId="191" fontId="2" fillId="3" borderId="1" xfId="0" applyNumberFormat="1" applyFont="1" applyFill="1" applyBorder="1" applyAlignment="1" applyProtection="1">
      <alignment horizontal="center"/>
    </xf>
    <xf numFmtId="0" fontId="0" fillId="3" borderId="57" xfId="0" applyFill="1" applyBorder="1" applyProtection="1"/>
    <xf numFmtId="0" fontId="0" fillId="3" borderId="147" xfId="0" applyFill="1" applyBorder="1" applyProtection="1"/>
    <xf numFmtId="0" fontId="3" fillId="3" borderId="147" xfId="0" applyFont="1" applyFill="1" applyBorder="1" applyAlignment="1" applyProtection="1">
      <alignment horizontal="right"/>
    </xf>
    <xf numFmtId="0" fontId="0" fillId="3" borderId="144" xfId="0" applyFill="1" applyBorder="1" applyProtection="1"/>
    <xf numFmtId="0" fontId="0" fillId="3" borderId="42" xfId="0" applyFill="1" applyBorder="1" applyProtection="1"/>
    <xf numFmtId="0" fontId="2" fillId="3" borderId="41" xfId="0" applyFont="1" applyFill="1" applyBorder="1" applyAlignment="1" applyProtection="1">
      <alignment horizontal="right"/>
    </xf>
    <xf numFmtId="0" fontId="0" fillId="3" borderId="145" xfId="0" applyFill="1" applyBorder="1" applyProtection="1"/>
    <xf numFmtId="0" fontId="0" fillId="3" borderId="50" xfId="0" applyFill="1" applyBorder="1" applyAlignment="1" applyProtection="1">
      <alignment horizontal="right"/>
    </xf>
    <xf numFmtId="2" fontId="0" fillId="3" borderId="42" xfId="0" applyNumberFormat="1" applyFill="1" applyBorder="1" applyProtection="1"/>
    <xf numFmtId="171" fontId="1" fillId="3" borderId="41" xfId="1" applyNumberFormat="1" applyFont="1" applyFill="1" applyBorder="1" applyProtection="1"/>
    <xf numFmtId="2" fontId="0" fillId="3" borderId="57" xfId="0" applyNumberFormat="1" applyFill="1" applyBorder="1" applyProtection="1"/>
    <xf numFmtId="171" fontId="1" fillId="3" borderId="147" xfId="1" applyNumberFormat="1" applyFont="1" applyFill="1" applyBorder="1" applyProtection="1"/>
    <xf numFmtId="0" fontId="52" fillId="3" borderId="150" xfId="0" applyFont="1" applyFill="1" applyBorder="1" applyProtection="1"/>
    <xf numFmtId="0" fontId="52" fillId="3" borderId="151" xfId="0" applyFont="1" applyFill="1" applyBorder="1" applyProtection="1"/>
    <xf numFmtId="0" fontId="5" fillId="6" borderId="57" xfId="0" applyFont="1" applyFill="1" applyBorder="1" applyProtection="1"/>
    <xf numFmtId="0" fontId="6" fillId="6" borderId="147" xfId="0" applyFont="1" applyFill="1" applyBorder="1" applyProtection="1"/>
    <xf numFmtId="0" fontId="6" fillId="6" borderId="148" xfId="0" applyFont="1" applyFill="1" applyBorder="1" applyProtection="1"/>
    <xf numFmtId="0" fontId="0" fillId="3" borderId="144"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49" xfId="0" applyFill="1" applyBorder="1" applyAlignment="1" applyProtection="1">
      <alignment horizontal="center"/>
      <protection locked="0"/>
    </xf>
    <xf numFmtId="0" fontId="0" fillId="3" borderId="152" xfId="0" applyFill="1" applyBorder="1" applyProtection="1"/>
    <xf numFmtId="0" fontId="58" fillId="5" borderId="153" xfId="0" applyFont="1" applyFill="1" applyBorder="1" applyProtection="1"/>
    <xf numFmtId="0" fontId="5" fillId="4" borderId="58" xfId="0" applyFont="1" applyFill="1" applyBorder="1" applyAlignment="1" applyProtection="1">
      <alignment horizontal="center"/>
    </xf>
    <xf numFmtId="0" fontId="5" fillId="4" borderId="138" xfId="0" applyFont="1" applyFill="1" applyBorder="1" applyAlignment="1" applyProtection="1">
      <alignment horizontal="center"/>
    </xf>
    <xf numFmtId="0" fontId="5" fillId="4" borderId="144" xfId="0" applyFont="1" applyFill="1" applyBorder="1" applyAlignment="1" applyProtection="1">
      <alignment horizontal="center"/>
    </xf>
    <xf numFmtId="0" fontId="5" fillId="4" borderId="149" xfId="0" applyFont="1" applyFill="1" applyBorder="1" applyAlignment="1" applyProtection="1">
      <alignment horizontal="center"/>
    </xf>
    <xf numFmtId="171" fontId="52" fillId="3" borderId="130" xfId="1" applyNumberFormat="1" applyFont="1" applyFill="1" applyBorder="1" applyProtection="1"/>
    <xf numFmtId="183" fontId="22" fillId="3" borderId="154" xfId="0" applyNumberFormat="1" applyFont="1" applyFill="1" applyBorder="1" applyProtection="1"/>
    <xf numFmtId="0" fontId="22" fillId="3" borderId="155" xfId="0" applyFont="1" applyFill="1" applyBorder="1" applyProtection="1"/>
    <xf numFmtId="183" fontId="22" fillId="3" borderId="156" xfId="0" applyNumberFormat="1" applyFont="1" applyFill="1" applyBorder="1" applyProtection="1"/>
    <xf numFmtId="0" fontId="52" fillId="3" borderId="79" xfId="0" applyFont="1" applyFill="1" applyBorder="1" applyProtection="1"/>
    <xf numFmtId="39" fontId="9" fillId="3" borderId="44" xfId="1" applyNumberFormat="1" applyFont="1" applyFill="1" applyBorder="1" applyProtection="1"/>
    <xf numFmtId="39" fontId="0" fillId="3" borderId="48" xfId="0" applyNumberFormat="1" applyFill="1" applyBorder="1" applyProtection="1"/>
    <xf numFmtId="195" fontId="0" fillId="3" borderId="0" xfId="1" applyNumberFormat="1" applyFont="1" applyFill="1" applyBorder="1" applyProtection="1"/>
    <xf numFmtId="39" fontId="1" fillId="3" borderId="0" xfId="0" applyNumberFormat="1" applyFont="1" applyFill="1" applyBorder="1" applyProtection="1"/>
    <xf numFmtId="39" fontId="8" fillId="0" borderId="32" xfId="0" applyNumberFormat="1" applyFont="1" applyBorder="1" applyProtection="1">
      <protection locked="0"/>
    </xf>
    <xf numFmtId="0" fontId="52" fillId="3" borderId="0" xfId="0" applyFont="1" applyFill="1" applyAlignment="1">
      <alignment vertical="center"/>
    </xf>
    <xf numFmtId="0" fontId="0" fillId="3" borderId="154" xfId="0" applyFill="1" applyBorder="1" applyAlignment="1" applyProtection="1">
      <alignment vertical="center"/>
      <protection locked="0"/>
    </xf>
    <xf numFmtId="0" fontId="0" fillId="3" borderId="157" xfId="0" applyFill="1" applyBorder="1" applyProtection="1">
      <protection locked="0"/>
    </xf>
    <xf numFmtId="0" fontId="0" fillId="3" borderId="156" xfId="0" applyFill="1" applyBorder="1" applyProtection="1">
      <protection locked="0"/>
    </xf>
    <xf numFmtId="0" fontId="0" fillId="3" borderId="155" xfId="0" applyFill="1" applyBorder="1" applyProtection="1">
      <protection locked="0"/>
    </xf>
    <xf numFmtId="0" fontId="0" fillId="3" borderId="158" xfId="0" applyFill="1" applyBorder="1" applyProtection="1">
      <protection locked="0"/>
    </xf>
    <xf numFmtId="0" fontId="0" fillId="3" borderId="79" xfId="0" applyFill="1" applyBorder="1" applyProtection="1">
      <protection locked="0"/>
    </xf>
    <xf numFmtId="172" fontId="52" fillId="3" borderId="0" xfId="0" applyNumberFormat="1" applyFont="1" applyFill="1" applyAlignment="1">
      <alignment horizontal="right"/>
    </xf>
    <xf numFmtId="169" fontId="27" fillId="3" borderId="4" xfId="1" applyNumberFormat="1" applyFont="1" applyFill="1" applyBorder="1" applyAlignment="1" applyProtection="1">
      <alignment vertical="center"/>
      <protection locked="0"/>
    </xf>
    <xf numFmtId="0" fontId="15" fillId="4" borderId="0" xfId="0" applyFont="1" applyFill="1"/>
    <xf numFmtId="0" fontId="0" fillId="3" borderId="0" xfId="0" applyFill="1" applyAlignment="1" applyProtection="1">
      <alignment vertical="center"/>
    </xf>
    <xf numFmtId="0" fontId="4" fillId="3" borderId="0" xfId="0" applyFont="1" applyFill="1" applyBorder="1" applyAlignment="1" applyProtection="1">
      <alignment vertical="center"/>
    </xf>
    <xf numFmtId="0" fontId="30" fillId="3" borderId="0" xfId="0" applyFont="1" applyFill="1" applyBorder="1" applyAlignment="1" applyProtection="1">
      <alignment vertical="center"/>
    </xf>
    <xf numFmtId="0" fontId="34" fillId="6" borderId="9" xfId="0" applyFont="1" applyFill="1" applyBorder="1" applyAlignment="1">
      <alignment horizontal="left" vertical="center"/>
    </xf>
    <xf numFmtId="0" fontId="34" fillId="6" borderId="8" xfId="0" applyFont="1" applyFill="1" applyBorder="1" applyAlignment="1">
      <alignment horizontal="left" vertical="center"/>
    </xf>
    <xf numFmtId="0" fontId="34" fillId="6" borderId="73" xfId="0" applyFont="1" applyFill="1" applyBorder="1" applyAlignment="1">
      <alignment horizontal="left" vertical="center"/>
    </xf>
    <xf numFmtId="13" fontId="39" fillId="3" borderId="0" xfId="0" applyNumberFormat="1" applyFont="1" applyFill="1" applyAlignment="1">
      <alignment vertical="top" wrapText="1"/>
    </xf>
    <xf numFmtId="0" fontId="25" fillId="0" borderId="0" xfId="0" applyFont="1" applyAlignment="1">
      <alignment vertical="top" wrapText="1"/>
    </xf>
    <xf numFmtId="0" fontId="0" fillId="3" borderId="0" xfId="0" applyFill="1" applyBorder="1" applyAlignment="1" applyProtection="1">
      <alignment wrapText="1"/>
    </xf>
    <xf numFmtId="0" fontId="0" fillId="0" borderId="0" xfId="0" applyBorder="1" applyAlignment="1">
      <alignment wrapText="1"/>
    </xf>
    <xf numFmtId="0" fontId="0" fillId="3" borderId="0" xfId="0" applyFill="1" applyBorder="1" applyAlignment="1" applyProtection="1">
      <alignment vertical="top" wrapText="1"/>
    </xf>
    <xf numFmtId="0" fontId="0" fillId="0" borderId="0" xfId="0" applyBorder="1" applyAlignment="1">
      <alignment vertical="top" wrapText="1"/>
    </xf>
    <xf numFmtId="0" fontId="0" fillId="0" borderId="0" xfId="0" applyBorder="1" applyAlignment="1"/>
    <xf numFmtId="0" fontId="0" fillId="0" borderId="128" xfId="0" applyBorder="1" applyAlignment="1"/>
    <xf numFmtId="0" fontId="5" fillId="4" borderId="57" xfId="0" applyFont="1" applyFill="1" applyBorder="1" applyAlignment="1" applyProtection="1">
      <alignment horizontal="center"/>
    </xf>
    <xf numFmtId="0" fontId="5" fillId="4" borderId="148" xfId="0" applyFont="1" applyFill="1" applyBorder="1" applyAlignment="1" applyProtection="1">
      <alignment horizontal="center"/>
    </xf>
    <xf numFmtId="0" fontId="5" fillId="4" borderId="144" xfId="0" applyFont="1" applyFill="1" applyBorder="1" applyAlignment="1" applyProtection="1">
      <alignment horizontal="center"/>
    </xf>
    <xf numFmtId="0" fontId="5" fillId="4" borderId="149" xfId="0" applyFont="1" applyFill="1" applyBorder="1" applyAlignment="1"/>
    <xf numFmtId="0" fontId="5" fillId="4" borderId="148" xfId="0" applyFont="1" applyFill="1" applyBorder="1" applyAlignment="1"/>
    <xf numFmtId="0" fontId="5" fillId="4" borderId="57" xfId="0" applyFont="1" applyFill="1" applyBorder="1" applyAlignment="1">
      <alignment horizontal="center"/>
    </xf>
    <xf numFmtId="0" fontId="5" fillId="4" borderId="148" xfId="0" applyFont="1" applyFill="1" applyBorder="1" applyAlignment="1">
      <alignment horizontal="center"/>
    </xf>
    <xf numFmtId="0" fontId="8" fillId="3" borderId="0" xfId="0" applyFont="1" applyFill="1" applyAlignment="1"/>
    <xf numFmtId="0" fontId="8" fillId="3" borderId="149" xfId="0" applyFont="1" applyFill="1" applyBorder="1" applyAlignment="1"/>
    <xf numFmtId="0" fontId="0" fillId="3" borderId="0" xfId="0" applyFill="1" applyAlignment="1"/>
    <xf numFmtId="0" fontId="0" fillId="3" borderId="149" xfId="0" applyFill="1" applyBorder="1" applyAlignment="1"/>
    <xf numFmtId="0" fontId="0" fillId="3" borderId="160" xfId="0" applyFill="1" applyBorder="1" applyAlignment="1">
      <alignment wrapText="1"/>
    </xf>
    <xf numFmtId="0" fontId="47" fillId="3" borderId="0" xfId="0" applyFont="1" applyFill="1" applyAlignment="1">
      <alignment wrapText="1"/>
    </xf>
    <xf numFmtId="0" fontId="0" fillId="0" borderId="0" xfId="0" applyAlignment="1">
      <alignment wrapText="1"/>
    </xf>
    <xf numFmtId="0" fontId="48" fillId="4" borderId="161" xfId="0" applyFont="1" applyFill="1" applyBorder="1" applyAlignment="1">
      <alignment horizontal="center" vertical="center" wrapText="1"/>
    </xf>
    <xf numFmtId="0" fontId="48" fillId="4" borderId="162" xfId="0" applyFont="1" applyFill="1" applyBorder="1" applyAlignment="1">
      <alignment horizontal="center" vertical="center" wrapText="1"/>
    </xf>
    <xf numFmtId="0" fontId="48" fillId="4" borderId="163" xfId="0" applyFont="1" applyFill="1" applyBorder="1" applyAlignment="1">
      <alignment horizontal="center" vertical="center" wrapText="1"/>
    </xf>
    <xf numFmtId="0" fontId="45" fillId="4" borderId="164" xfId="0" applyFont="1" applyFill="1" applyBorder="1" applyAlignment="1">
      <alignment horizontal="center" wrapText="1"/>
    </xf>
    <xf numFmtId="0" fontId="45" fillId="4" borderId="159" xfId="0" applyFont="1" applyFill="1" applyBorder="1" applyAlignment="1">
      <alignment horizontal="center" wrapText="1"/>
    </xf>
    <xf numFmtId="0" fontId="45" fillId="6" borderId="161" xfId="0" applyFont="1" applyFill="1" applyBorder="1" applyAlignment="1">
      <alignment horizontal="center" wrapText="1"/>
    </xf>
    <xf numFmtId="0" fontId="45" fillId="6" borderId="162" xfId="0" applyFont="1" applyFill="1" applyBorder="1" applyAlignment="1">
      <alignment horizontal="center" wrapText="1"/>
    </xf>
    <xf numFmtId="0" fontId="45" fillId="6" borderId="163" xfId="0" applyFont="1" applyFill="1" applyBorder="1" applyAlignment="1">
      <alignment horizontal="center" wrapText="1"/>
    </xf>
    <xf numFmtId="0" fontId="5" fillId="4" borderId="165" xfId="0" applyFont="1" applyFill="1" applyBorder="1" applyAlignment="1" applyProtection="1">
      <alignment vertical="center"/>
      <protection locked="0"/>
    </xf>
    <xf numFmtId="0" fontId="5" fillId="4" borderId="123" xfId="0" applyFont="1" applyFill="1" applyBorder="1" applyAlignment="1" applyProtection="1">
      <alignment vertical="center"/>
      <protection locked="0"/>
    </xf>
    <xf numFmtId="0" fontId="5" fillId="4" borderId="124" xfId="0" applyFont="1" applyFill="1" applyBorder="1" applyAlignment="1" applyProtection="1">
      <alignment vertical="center"/>
      <protection locked="0"/>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4E4"/>
      <rgbColor rgb="00808080"/>
      <rgbColor rgb="009999FF"/>
      <rgbColor rgb="00993366"/>
      <rgbColor rgb="00FFFFCC"/>
      <rgbColor rgb="00CCFFFF"/>
      <rgbColor rgb="00660066"/>
      <rgbColor rgb="00FF8080"/>
      <rgbColor rgb="000066CC"/>
      <rgbColor rgb="00CCCCFF"/>
      <rgbColor rgb="00000080"/>
      <rgbColor rgb="00F9F6D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plotArea>
      <c:layout>
        <c:manualLayout>
          <c:layoutTarget val="inner"/>
          <c:xMode val="edge"/>
          <c:yMode val="edge"/>
          <c:x val="0.16355174394538541"/>
          <c:y val="5.6962091329559705E-2"/>
          <c:w val="0.77570255699811363"/>
          <c:h val="0.88449469592288543"/>
        </c:manualLayout>
      </c:layout>
      <c:scatterChart>
        <c:scatterStyle val="lineMarker"/>
        <c:ser>
          <c:idx val="0"/>
          <c:order val="0"/>
          <c:tx>
            <c:v>box</c:v>
          </c:tx>
          <c:spPr>
            <a:ln w="25400">
              <a:solidFill>
                <a:srgbClr val="000080"/>
              </a:solidFill>
              <a:prstDash val="solid"/>
            </a:ln>
          </c:spPr>
          <c:marker>
            <c:symbol val="none"/>
          </c:marker>
          <c:xVal>
            <c:numRef>
              <c:f>'c'!$I$7:$I$20</c:f>
              <c:numCache>
                <c:formatCode>0.0</c:formatCode>
                <c:ptCount val="14"/>
                <c:pt idx="0">
                  <c:v>0</c:v>
                </c:pt>
                <c:pt idx="1">
                  <c:v>0</c:v>
                </c:pt>
                <c:pt idx="2">
                  <c:v>4.83</c:v>
                </c:pt>
                <c:pt idx="4">
                  <c:v>4.83</c:v>
                </c:pt>
                <c:pt idx="5">
                  <c:v>4.83</c:v>
                </c:pt>
                <c:pt idx="6">
                  <c:v>12.3165</c:v>
                </c:pt>
                <c:pt idx="7">
                  <c:v>12.3165</c:v>
                </c:pt>
                <c:pt idx="8">
                  <c:v>7.4864999999999995</c:v>
                </c:pt>
                <c:pt idx="9">
                  <c:v>0</c:v>
                </c:pt>
                <c:pt idx="10">
                  <c:v>4.83</c:v>
                </c:pt>
                <c:pt idx="11">
                  <c:v>12.3165</c:v>
                </c:pt>
                <c:pt idx="13">
                  <c:v>14.018571815430645</c:v>
                </c:pt>
              </c:numCache>
            </c:numRef>
          </c:xVal>
          <c:yVal>
            <c:numRef>
              <c:f>'c'!$K$7:$K$20</c:f>
              <c:numCache>
                <c:formatCode>0.0</c:formatCode>
                <c:ptCount val="14"/>
                <c:pt idx="0">
                  <c:v>12.011321815430646</c:v>
                </c:pt>
                <c:pt idx="1">
                  <c:v>1.2949999999999999</c:v>
                </c:pt>
                <c:pt idx="2">
                  <c:v>0</c:v>
                </c:pt>
                <c:pt idx="4">
                  <c:v>10.716321815430646</c:v>
                </c:pt>
                <c:pt idx="5">
                  <c:v>0</c:v>
                </c:pt>
                <c:pt idx="6">
                  <c:v>2.00725</c:v>
                </c:pt>
                <c:pt idx="7">
                  <c:v>12.723571815430647</c:v>
                </c:pt>
                <c:pt idx="8">
                  <c:v>14.018571815430645</c:v>
                </c:pt>
                <c:pt idx="9">
                  <c:v>12.011321815430646</c:v>
                </c:pt>
                <c:pt idx="10">
                  <c:v>10.716321815430646</c:v>
                </c:pt>
                <c:pt idx="11">
                  <c:v>12.723571815430647</c:v>
                </c:pt>
                <c:pt idx="13">
                  <c:v>14.018571815430645</c:v>
                </c:pt>
              </c:numCache>
            </c:numRef>
          </c:yVal>
        </c:ser>
        <c:ser>
          <c:idx val="1"/>
          <c:order val="1"/>
          <c:tx>
            <c:v>circle1</c:v>
          </c:tx>
          <c:spPr>
            <a:ln w="25400">
              <a:solidFill>
                <a:srgbClr val="993300"/>
              </a:solidFill>
              <a:prstDash val="solid"/>
            </a:ln>
          </c:spPr>
          <c:marker>
            <c:symbol val="none"/>
          </c:marker>
          <c:xVal>
            <c:numRef>
              <c:f>'c'!$I$23:$I$47</c:f>
              <c:numCache>
                <c:formatCode>0.0</c:formatCode>
                <c:ptCount val="25"/>
                <c:pt idx="0">
                  <c:v>3.4413749999999999</c:v>
                </c:pt>
                <c:pt idx="1">
                  <c:v>3.4228605629364077</c:v>
                </c:pt>
                <c:pt idx="2">
                  <c:v>3.3685789379836124</c:v>
                </c:pt>
                <c:pt idx="3">
                  <c:v>3.2822292048891106</c:v>
                </c:pt>
                <c:pt idx="4">
                  <c:v>3.169695759139763</c:v>
                </c:pt>
                <c:pt idx="5">
                  <c:v>3.0386473134988559</c:v>
                </c:pt>
                <c:pt idx="6">
                  <c:v>2.8980143053221754</c:v>
                </c:pt>
                <c:pt idx="7">
                  <c:v>2.7573803222939204</c:v>
                </c:pt>
                <c:pt idx="8">
                  <c:v>2.6263290185305994</c:v>
                </c:pt>
                <c:pt idx="9">
                  <c:v>2.5137910261578273</c:v>
                </c:pt>
                <c:pt idx="10">
                  <c:v>2.4274353677734362</c:v>
                </c:pt>
                <c:pt idx="11">
                  <c:v>2.3731468426495419</c:v>
                </c:pt>
                <c:pt idx="12">
                  <c:v>2.3546250007532263</c:v>
                </c:pt>
                <c:pt idx="13">
                  <c:v>2.3731320329327663</c:v>
                </c:pt>
                <c:pt idx="14">
                  <c:v>2.4274067575639724</c:v>
                </c:pt>
                <c:pt idx="15">
                  <c:v>2.5137505651291874</c:v>
                </c:pt>
                <c:pt idx="16">
                  <c:v>2.6262794639431233</c:v>
                </c:pt>
                <c:pt idx="17">
                  <c:v>2.7573250510982987</c:v>
                </c:pt>
                <c:pt idx="18">
                  <c:v>2.8979570840335134</c:v>
                </c:pt>
                <c:pt idx="19">
                  <c:v>3.0385920415234491</c:v>
                </c:pt>
                <c:pt idx="20">
                  <c:v>3.1696462030458563</c:v>
                </c:pt>
                <c:pt idx="21">
                  <c:v>3.282188741730053</c:v>
                </c:pt>
                <c:pt idx="22">
                  <c:v>3.3685503251649211</c:v>
                </c:pt>
                <c:pt idx="23">
                  <c:v>3.422845750309405</c:v>
                </c:pt>
                <c:pt idx="24">
                  <c:v>3.4413749969870939</c:v>
                </c:pt>
              </c:numCache>
            </c:numRef>
          </c:xVal>
          <c:yVal>
            <c:numRef>
              <c:f>'c'!$K$23:$K$47</c:f>
              <c:numCache>
                <c:formatCode>0.0</c:formatCode>
                <c:ptCount val="25"/>
                <c:pt idx="0">
                  <c:v>5.7304734077153228</c:v>
                </c:pt>
                <c:pt idx="1">
                  <c:v>5.8914492037217387</c:v>
                </c:pt>
                <c:pt idx="2">
                  <c:v>6.0513831623443215</c:v>
                </c:pt>
                <c:pt idx="3">
                  <c:v>6.1993764118600465</c:v>
                </c:pt>
                <c:pt idx="4">
                  <c:v>6.3253437930179519</c:v>
                </c:pt>
                <c:pt idx="5">
                  <c:v>6.4207011230694278</c:v>
                </c:pt>
                <c:pt idx="6">
                  <c:v>6.4789501741394684</c:v>
                </c:pt>
                <c:pt idx="7">
                  <c:v>6.4961215019582781</c:v>
                </c:pt>
                <c:pt idx="8">
                  <c:v>6.4710449479127448</c:v>
                </c:pt>
                <c:pt idx="9">
                  <c:v>6.4054293807643985</c:v>
                </c:pt>
                <c:pt idx="10">
                  <c:v>6.3037462439486545</c:v>
                </c:pt>
                <c:pt idx="11">
                  <c:v>6.1729248442499784</c:v>
                </c:pt>
                <c:pt idx="12">
                  <c:v>6.0218801467340848</c:v>
                </c:pt>
                <c:pt idx="13">
                  <c:v>5.8609052548597216</c:v>
                </c:pt>
                <c:pt idx="14">
                  <c:v>5.7009699758665482</c:v>
                </c:pt>
                <c:pt idx="15">
                  <c:v>5.5529732714556683</c:v>
                </c:pt>
                <c:pt idx="16">
                  <c:v>5.427000536315588</c:v>
                </c:pt>
                <c:pt idx="17">
                  <c:v>5.3316363180477966</c:v>
                </c:pt>
                <c:pt idx="18">
                  <c:v>5.2733793139322147</c:v>
                </c:pt>
                <c:pt idx="19">
                  <c:v>5.2561995102074803</c:v>
                </c:pt>
                <c:pt idx="20">
                  <c:v>5.2812676430864425</c:v>
                </c:pt>
                <c:pt idx="21">
                  <c:v>5.3468754176770243</c:v>
                </c:pt>
                <c:pt idx="22">
                  <c:v>5.4485519215760476</c:v>
                </c:pt>
                <c:pt idx="23">
                  <c:v>5.579368300006295</c:v>
                </c:pt>
                <c:pt idx="24">
                  <c:v>5.730409930081791</c:v>
                </c:pt>
              </c:numCache>
            </c:numRef>
          </c:yVal>
        </c:ser>
        <c:ser>
          <c:idx val="2"/>
          <c:order val="2"/>
          <c:tx>
            <c:v>circle2</c:v>
          </c:tx>
          <c:spPr>
            <a:ln w="25400">
              <a:solidFill>
                <a:srgbClr val="800000"/>
              </a:solidFill>
              <a:prstDash val="solid"/>
            </a:ln>
          </c:spPr>
          <c:marker>
            <c:symbol val="none"/>
          </c:marker>
          <c:xVal>
            <c:numRef>
              <c:f>'c'!$I$49:$I$73</c:f>
              <c:numCache>
                <c:formatCode>0.0</c:formatCode>
                <c:ptCount val="25"/>
                <c:pt idx="0">
                  <c:v>4.1055000000000001</c:v>
                </c:pt>
                <c:pt idx="1">
                  <c:v>4.0478995291354902</c:v>
                </c:pt>
                <c:pt idx="2">
                  <c:v>3.8790233626156829</c:v>
                </c:pt>
                <c:pt idx="3">
                  <c:v>3.6103797485439015</c:v>
                </c:pt>
                <c:pt idx="4">
                  <c:v>3.2602756951014857</c:v>
                </c:pt>
                <c:pt idx="5">
                  <c:v>2.8525694197742184</c:v>
                </c:pt>
                <c:pt idx="6">
                  <c:v>2.4150445054467675</c:v>
                </c:pt>
                <c:pt idx="7">
                  <c:v>1.9775165582477521</c:v>
                </c:pt>
                <c:pt idx="8">
                  <c:v>1.5698013909840878</c:v>
                </c:pt>
                <c:pt idx="9">
                  <c:v>1.219683192491019</c:v>
                </c:pt>
                <c:pt idx="10">
                  <c:v>0.95102114418402406</c:v>
                </c:pt>
                <c:pt idx="11">
                  <c:v>0.78212351046524198</c:v>
                </c:pt>
                <c:pt idx="12">
                  <c:v>0.72450000234337142</c:v>
                </c:pt>
                <c:pt idx="13">
                  <c:v>0.78207743579082878</c:v>
                </c:pt>
                <c:pt idx="14">
                  <c:v>0.95093213464346937</c:v>
                </c:pt>
                <c:pt idx="15">
                  <c:v>1.2195573137352502</c:v>
                </c:pt>
                <c:pt idx="16">
                  <c:v>1.5696472211563826</c:v>
                </c:pt>
                <c:pt idx="17">
                  <c:v>1.9773446034169286</c:v>
                </c:pt>
                <c:pt idx="18">
                  <c:v>2.4148664836598197</c:v>
                </c:pt>
                <c:pt idx="19">
                  <c:v>2.8523974625173971</c:v>
                </c:pt>
                <c:pt idx="20">
                  <c:v>3.2601215205871088</c:v>
                </c:pt>
                <c:pt idx="21">
                  <c:v>3.6102538631601648</c:v>
                </c:pt>
                <c:pt idx="22">
                  <c:v>3.8789343449575324</c:v>
                </c:pt>
                <c:pt idx="23">
                  <c:v>4.0478534454070374</c:v>
                </c:pt>
                <c:pt idx="24">
                  <c:v>4.1054999906265142</c:v>
                </c:pt>
              </c:numCache>
            </c:numRef>
          </c:xVal>
          <c:yVal>
            <c:numRef>
              <c:f>'c'!$K$49:$K$73</c:f>
              <c:numCache>
                <c:formatCode>0.0</c:formatCode>
                <c:ptCount val="25"/>
                <c:pt idx="0">
                  <c:v>8.231491361572985</c:v>
                </c:pt>
                <c:pt idx="1">
                  <c:v>8.7323049491484994</c:v>
                </c:pt>
                <c:pt idx="2">
                  <c:v>9.2298772648631999</c:v>
                </c:pt>
                <c:pt idx="3">
                  <c:v>9.6903007078010095</c:v>
                </c:pt>
                <c:pt idx="4">
                  <c:v>10.08219922695894</c:v>
                </c:pt>
                <c:pt idx="5">
                  <c:v>10.378866476007975</c:v>
                </c:pt>
                <c:pt idx="6">
                  <c:v>10.560085746003658</c:v>
                </c:pt>
                <c:pt idx="7">
                  <c:v>10.613507654773287</c:v>
                </c:pt>
                <c:pt idx="8">
                  <c:v>10.535491708853851</c:v>
                </c:pt>
                <c:pt idx="9">
                  <c:v>10.331354388836774</c:v>
                </c:pt>
                <c:pt idx="10">
                  <c:v>10.015006852076683</c:v>
                </c:pt>
                <c:pt idx="11">
                  <c:v>9.6080069419030227</c:v>
                </c:pt>
                <c:pt idx="12">
                  <c:v>9.1380901051869117</c:v>
                </c:pt>
                <c:pt idx="13">
                  <c:v>8.6372793304666686</c:v>
                </c:pt>
                <c:pt idx="14">
                  <c:v>8.139702906932353</c:v>
                </c:pt>
                <c:pt idx="15">
                  <c:v>7.679268715431836</c:v>
                </c:pt>
                <c:pt idx="16">
                  <c:v>7.2873535394404749</c:v>
                </c:pt>
                <c:pt idx="17">
                  <c:v>6.9906648603851256</c:v>
                </c:pt>
                <c:pt idx="18">
                  <c:v>6.80942084758109</c:v>
                </c:pt>
                <c:pt idx="19">
                  <c:v>6.7559725693263672</c:v>
                </c:pt>
                <c:pt idx="20">
                  <c:v>6.8339623160609095</c:v>
                </c:pt>
                <c:pt idx="21">
                  <c:v>7.0380753925649451</c:v>
                </c:pt>
                <c:pt idx="22">
                  <c:v>7.3544022935841262</c:v>
                </c:pt>
                <c:pt idx="23">
                  <c:v>7.7613865820337864</c:v>
                </c:pt>
                <c:pt idx="24">
                  <c:v>8.2312938756019953</c:v>
                </c:pt>
              </c:numCache>
            </c:numRef>
          </c:yVal>
        </c:ser>
        <c:ser>
          <c:idx val="3"/>
          <c:order val="3"/>
          <c:tx>
            <c:v>Panels</c:v>
          </c:tx>
          <c:spPr>
            <a:ln w="12700">
              <a:solidFill>
                <a:srgbClr val="000080"/>
              </a:solidFill>
              <a:prstDash val="solid"/>
            </a:ln>
          </c:spPr>
          <c:marker>
            <c:symbol val="none"/>
          </c:marker>
          <c:xVal>
            <c:numRef>
              <c:f>'c'!$I$75:$I$87</c:f>
              <c:numCache>
                <c:formatCode>0.0</c:formatCode>
                <c:ptCount val="13"/>
                <c:pt idx="0">
                  <c:v>0.48299999999999998</c:v>
                </c:pt>
                <c:pt idx="1">
                  <c:v>5.3129999999999997</c:v>
                </c:pt>
                <c:pt idx="2">
                  <c:v>5.3129999999999997</c:v>
                </c:pt>
                <c:pt idx="4">
                  <c:v>0.96599999999999997</c:v>
                </c:pt>
                <c:pt idx="5">
                  <c:v>7.4864999999999995</c:v>
                </c:pt>
                <c:pt idx="7">
                  <c:v>4.8299999999999992</c:v>
                </c:pt>
                <c:pt idx="8">
                  <c:v>11.3505</c:v>
                </c:pt>
                <c:pt idx="10">
                  <c:v>7.0034999999999998</c:v>
                </c:pt>
                <c:pt idx="11">
                  <c:v>11.833500000000001</c:v>
                </c:pt>
                <c:pt idx="12">
                  <c:v>11.833500000000001</c:v>
                </c:pt>
              </c:numCache>
            </c:numRef>
          </c:xVal>
          <c:yVal>
            <c:numRef>
              <c:f>'c'!$K$75:$K$87</c:f>
              <c:numCache>
                <c:formatCode>0.0</c:formatCode>
                <c:ptCount val="13"/>
                <c:pt idx="0">
                  <c:v>12.140821815430646</c:v>
                </c:pt>
                <c:pt idx="1">
                  <c:v>10.845821815430646</c:v>
                </c:pt>
                <c:pt idx="2">
                  <c:v>0.12949999999999995</c:v>
                </c:pt>
                <c:pt idx="4">
                  <c:v>12.011321815430646</c:v>
                </c:pt>
                <c:pt idx="5">
                  <c:v>13.759571815430647</c:v>
                </c:pt>
                <c:pt idx="7">
                  <c:v>10.975321815430647</c:v>
                </c:pt>
                <c:pt idx="8">
                  <c:v>12.723571815430647</c:v>
                </c:pt>
                <c:pt idx="10">
                  <c:v>13.889071815430647</c:v>
                </c:pt>
                <c:pt idx="11">
                  <c:v>12.594071815430647</c:v>
                </c:pt>
                <c:pt idx="12">
                  <c:v>1.87775</c:v>
                </c:pt>
              </c:numCache>
            </c:numRef>
          </c:yVal>
        </c:ser>
        <c:ser>
          <c:idx val="4"/>
          <c:order val="4"/>
          <c:tx>
            <c:v>circle3</c:v>
          </c:tx>
          <c:spPr>
            <a:ln w="25400">
              <a:solidFill>
                <a:srgbClr val="800000"/>
              </a:solidFill>
              <a:prstDash val="solid"/>
            </a:ln>
          </c:spPr>
          <c:marker>
            <c:symbol val="none"/>
          </c:marker>
          <c:xVal>
            <c:numRef>
              <c:f>'c'!$I$89:$I$113</c:f>
              <c:numCache>
                <c:formatCode>0.0</c:formatCode>
                <c:ptCount val="25"/>
                <c:pt idx="0">
                  <c:v>4.1055000000000001</c:v>
                </c:pt>
                <c:pt idx="1">
                  <c:v>4.0478995291354902</c:v>
                </c:pt>
                <c:pt idx="2">
                  <c:v>3.8790233626156829</c:v>
                </c:pt>
                <c:pt idx="3">
                  <c:v>3.6103797485439015</c:v>
                </c:pt>
                <c:pt idx="4">
                  <c:v>3.2602756951014857</c:v>
                </c:pt>
                <c:pt idx="5">
                  <c:v>2.8525694197742184</c:v>
                </c:pt>
                <c:pt idx="6">
                  <c:v>2.4150445054467675</c:v>
                </c:pt>
                <c:pt idx="7">
                  <c:v>1.9775165582477521</c:v>
                </c:pt>
                <c:pt idx="8">
                  <c:v>1.5698013909840878</c:v>
                </c:pt>
                <c:pt idx="9">
                  <c:v>1.219683192491019</c:v>
                </c:pt>
                <c:pt idx="10">
                  <c:v>0.95102114418402406</c:v>
                </c:pt>
                <c:pt idx="11">
                  <c:v>0.78212351046524198</c:v>
                </c:pt>
                <c:pt idx="12">
                  <c:v>0.72450000234337142</c:v>
                </c:pt>
                <c:pt idx="13">
                  <c:v>0.78207743579082878</c:v>
                </c:pt>
                <c:pt idx="14">
                  <c:v>0.95093213464346937</c:v>
                </c:pt>
                <c:pt idx="15">
                  <c:v>1.2195573137352502</c:v>
                </c:pt>
                <c:pt idx="16">
                  <c:v>1.5696472211563826</c:v>
                </c:pt>
                <c:pt idx="17">
                  <c:v>1.9773446034169286</c:v>
                </c:pt>
                <c:pt idx="18">
                  <c:v>2.4148664836598197</c:v>
                </c:pt>
                <c:pt idx="19">
                  <c:v>2.8523974625173971</c:v>
                </c:pt>
                <c:pt idx="20">
                  <c:v>3.2601215205871088</c:v>
                </c:pt>
                <c:pt idx="21">
                  <c:v>3.6102538631601648</c:v>
                </c:pt>
                <c:pt idx="22">
                  <c:v>3.8789343449575324</c:v>
                </c:pt>
                <c:pt idx="23">
                  <c:v>4.0478534454070374</c:v>
                </c:pt>
                <c:pt idx="24">
                  <c:v>4.1054999906265142</c:v>
                </c:pt>
              </c:numCache>
            </c:numRef>
          </c:xVal>
          <c:yVal>
            <c:numRef>
              <c:f>'c'!$K$89:$K$113</c:f>
              <c:numCache>
                <c:formatCode>0.0</c:formatCode>
                <c:ptCount val="25"/>
                <c:pt idx="0">
                  <c:v>2.8733304538576614</c:v>
                </c:pt>
                <c:pt idx="1">
                  <c:v>3.3741440414331771</c:v>
                </c:pt>
                <c:pt idx="2">
                  <c:v>3.8717163571478768</c:v>
                </c:pt>
                <c:pt idx="3">
                  <c:v>4.3321398000856863</c:v>
                </c:pt>
                <c:pt idx="4">
                  <c:v>4.7240383192436166</c:v>
                </c:pt>
                <c:pt idx="5">
                  <c:v>5.0207055682926525</c:v>
                </c:pt>
                <c:pt idx="6">
                  <c:v>5.2019248382883347</c:v>
                </c:pt>
                <c:pt idx="7">
                  <c:v>5.2553467470579633</c:v>
                </c:pt>
                <c:pt idx="8">
                  <c:v>5.1773308011385284</c:v>
                </c:pt>
                <c:pt idx="9">
                  <c:v>4.9731934811214495</c:v>
                </c:pt>
                <c:pt idx="10">
                  <c:v>4.6568459443613595</c:v>
                </c:pt>
                <c:pt idx="11">
                  <c:v>4.2498460341876996</c:v>
                </c:pt>
                <c:pt idx="12">
                  <c:v>3.7799291974715885</c:v>
                </c:pt>
                <c:pt idx="13">
                  <c:v>3.2791184227513437</c:v>
                </c:pt>
                <c:pt idx="14">
                  <c:v>2.7815419992170307</c:v>
                </c:pt>
                <c:pt idx="15">
                  <c:v>2.3211078077165128</c:v>
                </c:pt>
                <c:pt idx="16">
                  <c:v>1.9291926317251511</c:v>
                </c:pt>
                <c:pt idx="17">
                  <c:v>1.6325039526698018</c:v>
                </c:pt>
                <c:pt idx="18">
                  <c:v>1.4512599398657657</c:v>
                </c:pt>
                <c:pt idx="19">
                  <c:v>1.3978116616110432</c:v>
                </c:pt>
                <c:pt idx="20">
                  <c:v>1.4758014083455859</c:v>
                </c:pt>
                <c:pt idx="21">
                  <c:v>1.6799144848496219</c:v>
                </c:pt>
                <c:pt idx="22">
                  <c:v>1.9962413858688031</c:v>
                </c:pt>
                <c:pt idx="23">
                  <c:v>2.4032256743184623</c:v>
                </c:pt>
                <c:pt idx="24">
                  <c:v>2.8731329678866713</c:v>
                </c:pt>
              </c:numCache>
            </c:numRef>
          </c:yVal>
        </c:ser>
        <c:ser>
          <c:idx val="5"/>
          <c:order val="5"/>
          <c:tx>
            <c:v>circle4</c:v>
          </c:tx>
          <c:spPr>
            <a:ln w="25400">
              <a:solidFill>
                <a:srgbClr val="333399"/>
              </a:solidFill>
              <a:prstDash val="solid"/>
            </a:ln>
          </c:spPr>
          <c:marker>
            <c:symbol val="none"/>
          </c:marker>
          <c:xVal>
            <c:numRef>
              <c:f>'c'!$I$115:$I$139</c:f>
              <c:numCache>
                <c:formatCode>0.0</c:formatCode>
                <c:ptCount val="25"/>
                <c:pt idx="0">
                  <c:v>8.5732499999999998</c:v>
                </c:pt>
                <c:pt idx="1">
                  <c:v>8.5732499999999998</c:v>
                </c:pt>
                <c:pt idx="2">
                  <c:v>8.5732499999999998</c:v>
                </c:pt>
                <c:pt idx="3">
                  <c:v>8.5732499999999998</c:v>
                </c:pt>
                <c:pt idx="4">
                  <c:v>8.5732499999999998</c:v>
                </c:pt>
                <c:pt idx="5">
                  <c:v>8.5732499999999998</c:v>
                </c:pt>
                <c:pt idx="6">
                  <c:v>8.5732499999999998</c:v>
                </c:pt>
                <c:pt idx="7">
                  <c:v>8.5732499999999998</c:v>
                </c:pt>
                <c:pt idx="8">
                  <c:v>8.5732499999999998</c:v>
                </c:pt>
                <c:pt idx="9">
                  <c:v>8.5732499999999998</c:v>
                </c:pt>
                <c:pt idx="10">
                  <c:v>8.5732499999999998</c:v>
                </c:pt>
                <c:pt idx="11">
                  <c:v>8.5732499999999998</c:v>
                </c:pt>
                <c:pt idx="12">
                  <c:v>8.5732499999999998</c:v>
                </c:pt>
                <c:pt idx="13">
                  <c:v>8.5732499999999998</c:v>
                </c:pt>
                <c:pt idx="14">
                  <c:v>8.5732499999999998</c:v>
                </c:pt>
                <c:pt idx="15">
                  <c:v>8.5732499999999998</c:v>
                </c:pt>
                <c:pt idx="16">
                  <c:v>8.5732499999999998</c:v>
                </c:pt>
                <c:pt idx="17">
                  <c:v>8.5732499999999998</c:v>
                </c:pt>
                <c:pt idx="18">
                  <c:v>8.5732499999999998</c:v>
                </c:pt>
                <c:pt idx="19">
                  <c:v>8.5732499999999998</c:v>
                </c:pt>
                <c:pt idx="20">
                  <c:v>8.5732499999999998</c:v>
                </c:pt>
                <c:pt idx="21">
                  <c:v>8.5732499999999998</c:v>
                </c:pt>
                <c:pt idx="22">
                  <c:v>8.5732499999999998</c:v>
                </c:pt>
                <c:pt idx="23">
                  <c:v>8.5732499999999998</c:v>
                </c:pt>
                <c:pt idx="24">
                  <c:v>8.5732499999999998</c:v>
                </c:pt>
              </c:numCache>
            </c:numRef>
          </c:xVal>
          <c:yVal>
            <c:numRef>
              <c:f>'c'!$K$115:$K$139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er>
        <c:axId val="62856192"/>
        <c:axId val="62866176"/>
      </c:scatterChart>
      <c:valAx>
        <c:axId val="62856192"/>
        <c:scaling>
          <c:orientation val="minMax"/>
        </c:scaling>
        <c:axPos val="b"/>
        <c:numFmt formatCode="0.0" sourceLinked="1"/>
        <c:tickLblPos val="nextTo"/>
        <c:spPr>
          <a:ln w="9525">
            <a:noFill/>
          </a:ln>
        </c:spPr>
        <c:txPr>
          <a:bodyPr rot="0" vert="horz"/>
          <a:lstStyle/>
          <a:p>
            <a:pPr>
              <a:defRPr sz="800" b="0" i="0" u="none" strike="noStrike" baseline="0">
                <a:solidFill>
                  <a:srgbClr val="FFFFFF"/>
                </a:solidFill>
                <a:latin typeface="Arial"/>
                <a:ea typeface="Arial"/>
                <a:cs typeface="Arial"/>
              </a:defRPr>
            </a:pPr>
            <a:endParaRPr lang="en-US"/>
          </a:p>
        </c:txPr>
        <c:crossAx val="62866176"/>
        <c:crosses val="autoZero"/>
        <c:crossBetween val="midCat"/>
      </c:valAx>
      <c:valAx>
        <c:axId val="62866176"/>
        <c:scaling>
          <c:orientation val="minMax"/>
        </c:scaling>
        <c:axPos val="l"/>
        <c:majorGridlines>
          <c:spPr>
            <a:ln w="3175">
              <a:solidFill>
                <a:srgbClr val="FFFFFF"/>
              </a:solidFill>
              <a:prstDash val="solid"/>
            </a:ln>
          </c:spPr>
        </c:majorGridlines>
        <c:numFmt formatCode="0.0" sourceLinked="1"/>
        <c:tickLblPos val="nextTo"/>
        <c:spPr>
          <a:ln w="9525">
            <a:noFill/>
          </a:ln>
        </c:spPr>
        <c:txPr>
          <a:bodyPr rot="0" vert="horz"/>
          <a:lstStyle/>
          <a:p>
            <a:pPr>
              <a:defRPr sz="800" b="0" i="0" u="none" strike="noStrike" baseline="0">
                <a:solidFill>
                  <a:srgbClr val="FFFFFF"/>
                </a:solidFill>
                <a:latin typeface="Arial"/>
                <a:ea typeface="Arial"/>
                <a:cs typeface="Arial"/>
              </a:defRPr>
            </a:pPr>
            <a:endParaRPr lang="en-US"/>
          </a:p>
        </c:txPr>
        <c:crossAx val="62856192"/>
        <c:crosses val="autoZero"/>
        <c:crossBetween val="midCat"/>
      </c:valAx>
      <c:spPr>
        <a:noFill/>
        <a:ln w="25400">
          <a:noFill/>
        </a:ln>
      </c:spPr>
    </c:plotArea>
    <c:plotVisOnly val="1"/>
    <c:dispBlanksAs val="gap"/>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plotArea>
      <c:layout>
        <c:manualLayout>
          <c:layoutTarget val="inner"/>
          <c:xMode val="edge"/>
          <c:yMode val="edge"/>
          <c:x val="5.3008623799910913E-2"/>
          <c:y val="3.015874184599061E-2"/>
          <c:w val="0.8739259599444773"/>
          <c:h val="0.90476225537971833"/>
        </c:manualLayout>
      </c:layout>
      <c:scatterChart>
        <c:scatterStyle val="lineMarker"/>
        <c:ser>
          <c:idx val="0"/>
          <c:order val="0"/>
          <c:tx>
            <c:v>Front view</c:v>
          </c:tx>
          <c:spPr>
            <a:ln w="25400">
              <a:solidFill>
                <a:srgbClr val="000080"/>
              </a:solidFill>
              <a:prstDash val="solid"/>
            </a:ln>
          </c:spPr>
          <c:marker>
            <c:symbol val="none"/>
          </c:marker>
          <c:xVal>
            <c:numRef>
              <c:f>'c'!$M$7:$M$14</c:f>
              <c:numCache>
                <c:formatCode>General</c:formatCode>
                <c:ptCount val="8"/>
                <c:pt idx="0">
                  <c:v>0</c:v>
                </c:pt>
                <c:pt idx="1">
                  <c:v>5</c:v>
                </c:pt>
                <c:pt idx="2">
                  <c:v>5</c:v>
                </c:pt>
                <c:pt idx="3">
                  <c:v>0</c:v>
                </c:pt>
                <c:pt idx="4">
                  <c:v>0</c:v>
                </c:pt>
                <c:pt idx="6">
                  <c:v>18.75</c:v>
                </c:pt>
              </c:numCache>
            </c:numRef>
          </c:xVal>
          <c:yVal>
            <c:numRef>
              <c:f>'c'!$N$7:$N$14</c:f>
              <c:numCache>
                <c:formatCode>General</c:formatCode>
                <c:ptCount val="8"/>
                <c:pt idx="0">
                  <c:v>0</c:v>
                </c:pt>
                <c:pt idx="1">
                  <c:v>0</c:v>
                </c:pt>
                <c:pt idx="2">
                  <c:v>10</c:v>
                </c:pt>
                <c:pt idx="3">
                  <c:v>10</c:v>
                </c:pt>
                <c:pt idx="4">
                  <c:v>0</c:v>
                </c:pt>
                <c:pt idx="6">
                  <c:v>18.75</c:v>
                </c:pt>
              </c:numCache>
            </c:numRef>
          </c:yVal>
        </c:ser>
        <c:ser>
          <c:idx val="1"/>
          <c:order val="1"/>
          <c:tx>
            <c:v>circle1</c:v>
          </c:tx>
          <c:spPr>
            <a:ln w="25400">
              <a:solidFill>
                <a:srgbClr val="800000"/>
              </a:solidFill>
              <a:prstDash val="solid"/>
            </a:ln>
          </c:spPr>
          <c:marker>
            <c:symbol val="square"/>
            <c:size val="3"/>
            <c:spPr>
              <a:noFill/>
              <a:ln w="9525">
                <a:noFill/>
              </a:ln>
            </c:spPr>
          </c:marker>
          <c:xVal>
            <c:numRef>
              <c:f>'c'!$F$23:$F$47</c:f>
              <c:numCache>
                <c:formatCode>#\ ?/8</c:formatCode>
                <c:ptCount val="25"/>
                <c:pt idx="0">
                  <c:v>3.5625</c:v>
                </c:pt>
                <c:pt idx="1">
                  <c:v>3.5433339160832378</c:v>
                </c:pt>
                <c:pt idx="2">
                  <c:v>3.4871417577470107</c:v>
                </c:pt>
                <c:pt idx="3">
                  <c:v>3.3977528000922472</c:v>
                </c:pt>
                <c:pt idx="4">
                  <c:v>3.2812585498341234</c:v>
                </c:pt>
                <c:pt idx="5">
                  <c:v>3.1455976330215902</c:v>
                </c:pt>
                <c:pt idx="6">
                  <c:v>3.0000148088221277</c:v>
                </c:pt>
                <c:pt idx="7">
                  <c:v>2.8544309754595449</c:v>
                </c:pt>
                <c:pt idx="8">
                  <c:v>2.718767099928157</c:v>
                </c:pt>
                <c:pt idx="9">
                  <c:v>2.6022681430205252</c:v>
                </c:pt>
                <c:pt idx="10">
                  <c:v>2.5128730515252964</c:v>
                </c:pt>
                <c:pt idx="11">
                  <c:v>2.4566737501548053</c:v>
                </c:pt>
                <c:pt idx="12">
                  <c:v>2.4375000007797376</c:v>
                </c:pt>
                <c:pt idx="13">
                  <c:v>2.4566584191850582</c:v>
                </c:pt>
                <c:pt idx="14">
                  <c:v>2.5128434343312342</c:v>
                </c:pt>
                <c:pt idx="15">
                  <c:v>2.6022262578977098</c:v>
                </c:pt>
                <c:pt idx="16">
                  <c:v>2.7187158011833574</c:v>
                </c:pt>
                <c:pt idx="17">
                  <c:v>2.8543737589009304</c:v>
                </c:pt>
                <c:pt idx="18">
                  <c:v>2.9999555735336578</c:v>
                </c:pt>
                <c:pt idx="19">
                  <c:v>3.1455404156557445</c:v>
                </c:pt>
                <c:pt idx="20">
                  <c:v>3.2812072495298721</c:v>
                </c:pt>
                <c:pt idx="21">
                  <c:v>3.3977109127640301</c:v>
                </c:pt>
                <c:pt idx="22">
                  <c:v>3.4871121378518852</c:v>
                </c:pt>
                <c:pt idx="23">
                  <c:v>3.5433185821008335</c:v>
                </c:pt>
                <c:pt idx="24">
                  <c:v>3.5624999968810496</c:v>
                </c:pt>
              </c:numCache>
            </c:numRef>
          </c:xVal>
          <c:yVal>
            <c:numRef>
              <c:f>'c'!$H$23:$H$47</c:f>
              <c:numCache>
                <c:formatCode>0.0</c:formatCode>
                <c:ptCount val="25"/>
                <c:pt idx="0">
                  <c:v>5</c:v>
                </c:pt>
                <c:pt idx="1">
                  <c:v>5.1455833288314743</c:v>
                </c:pt>
                <c:pt idx="2">
                  <c:v>5.2812457250504492</c:v>
                </c:pt>
                <c:pt idx="3">
                  <c:v>5.397742328673699</c:v>
                </c:pt>
                <c:pt idx="4">
                  <c:v>5.4871343532796732</c:v>
                </c:pt>
                <c:pt idx="5">
                  <c:v>5.5433300831525072</c:v>
                </c:pt>
                <c:pt idx="6">
                  <c:v>5.5624999998050653</c:v>
                </c:pt>
                <c:pt idx="7">
                  <c:v>5.5433377486373834</c:v>
                </c:pt>
                <c:pt idx="8">
                  <c:v>5.4871491618767099</c:v>
                </c:pt>
                <c:pt idx="9">
                  <c:v>5.3977632712351138</c:v>
                </c:pt>
                <c:pt idx="10">
                  <c:v>5.2812713744228574</c:v>
                </c:pt>
                <c:pt idx="11">
                  <c:v>5.1456119371107922</c:v>
                </c:pt>
                <c:pt idx="12">
                  <c:v>5.0000296176442447</c:v>
                </c:pt>
                <c:pt idx="13">
                  <c:v>4.8544452798514586</c:v>
                </c:pt>
                <c:pt idx="14">
                  <c:v>4.7187799251016855</c:v>
                </c:pt>
                <c:pt idx="15">
                  <c:v>4.6022786149904178</c:v>
                </c:pt>
                <c:pt idx="16">
                  <c:v>4.5128804566678937</c:v>
                </c:pt>
                <c:pt idx="17">
                  <c:v>4.4566775838386974</c:v>
                </c:pt>
                <c:pt idx="18">
                  <c:v>4.43750000175441</c:v>
                </c:pt>
                <c:pt idx="19">
                  <c:v>4.4566545873840901</c:v>
                </c:pt>
                <c:pt idx="20">
                  <c:v>4.5128360308768265</c:v>
                </c:pt>
                <c:pt idx="21">
                  <c:v>4.6022157873062302</c:v>
                </c:pt>
                <c:pt idx="22">
                  <c:v>4.7187029769845301</c:v>
                </c:pt>
                <c:pt idx="23">
                  <c:v>4.8543594550135856</c:v>
                </c:pt>
                <c:pt idx="24">
                  <c:v>4.9999407647115923</c:v>
                </c:pt>
              </c:numCache>
            </c:numRef>
          </c:yVal>
          <c:smooth val="1"/>
        </c:ser>
        <c:ser>
          <c:idx val="2"/>
          <c:order val="2"/>
          <c:tx>
            <c:v>Side view</c:v>
          </c:tx>
          <c:spPr>
            <a:ln w="25400">
              <a:solidFill>
                <a:srgbClr val="000080"/>
              </a:solidFill>
              <a:prstDash val="solid"/>
            </a:ln>
          </c:spPr>
          <c:marker>
            <c:symbol val="none"/>
          </c:marker>
          <c:xVal>
            <c:numRef>
              <c:f>'c'!$O$7:$O$11</c:f>
              <c:numCache>
                <c:formatCode>General</c:formatCode>
                <c:ptCount val="5"/>
                <c:pt idx="0">
                  <c:v>11</c:v>
                </c:pt>
                <c:pt idx="1">
                  <c:v>18.75</c:v>
                </c:pt>
                <c:pt idx="2">
                  <c:v>18.75</c:v>
                </c:pt>
                <c:pt idx="3">
                  <c:v>11</c:v>
                </c:pt>
                <c:pt idx="4">
                  <c:v>11</c:v>
                </c:pt>
              </c:numCache>
            </c:numRef>
          </c:xVal>
          <c:yVal>
            <c:numRef>
              <c:f>'c'!$P$7:$P$11</c:f>
              <c:numCache>
                <c:formatCode>General</c:formatCode>
                <c:ptCount val="5"/>
                <c:pt idx="0">
                  <c:v>0</c:v>
                </c:pt>
                <c:pt idx="1">
                  <c:v>0</c:v>
                </c:pt>
                <c:pt idx="2">
                  <c:v>10</c:v>
                </c:pt>
                <c:pt idx="3">
                  <c:v>10</c:v>
                </c:pt>
                <c:pt idx="4">
                  <c:v>0</c:v>
                </c:pt>
              </c:numCache>
            </c:numRef>
          </c:yVal>
        </c:ser>
        <c:ser>
          <c:idx val="3"/>
          <c:order val="3"/>
          <c:tx>
            <c:v>circle2</c:v>
          </c:tx>
          <c:spPr>
            <a:ln w="25400">
              <a:solidFill>
                <a:srgbClr val="800000"/>
              </a:solidFill>
              <a:prstDash val="solid"/>
            </a:ln>
          </c:spPr>
          <c:marker>
            <c:symbol val="none"/>
          </c:marker>
          <c:xVal>
            <c:numRef>
              <c:f>'c'!$F$49:$F$73</c:f>
              <c:numCache>
                <c:formatCode>#\ ?/8</c:formatCode>
                <c:ptCount val="25"/>
                <c:pt idx="0">
                  <c:v>4.25</c:v>
                </c:pt>
                <c:pt idx="1">
                  <c:v>4.1903721833700729</c:v>
                </c:pt>
                <c:pt idx="2">
                  <c:v>4.0155521352129222</c:v>
                </c:pt>
                <c:pt idx="3">
                  <c:v>3.7374531558425481</c:v>
                </c:pt>
                <c:pt idx="4">
                  <c:v>3.3750265994839399</c:v>
                </c:pt>
                <c:pt idx="5">
                  <c:v>2.9529704138449469</c:v>
                </c:pt>
                <c:pt idx="6">
                  <c:v>2.500046071891064</c:v>
                </c:pt>
                <c:pt idx="7">
                  <c:v>2.047118590318584</c:v>
                </c:pt>
                <c:pt idx="8">
                  <c:v>1.6250531997764885</c:v>
                </c:pt>
                <c:pt idx="9">
                  <c:v>1.2626120005083012</c:v>
                </c:pt>
                <c:pt idx="10">
                  <c:v>0.98449393807869989</c:v>
                </c:pt>
                <c:pt idx="11">
                  <c:v>0.80965166714828363</c:v>
                </c:pt>
                <c:pt idx="12">
                  <c:v>0.75000000242585041</c:v>
                </c:pt>
                <c:pt idx="13">
                  <c:v>0.80960397079795943</c:v>
                </c:pt>
                <c:pt idx="14">
                  <c:v>0.98440179569717334</c:v>
                </c:pt>
                <c:pt idx="15">
                  <c:v>1.2624816912373191</c:v>
                </c:pt>
                <c:pt idx="16">
                  <c:v>1.6248936036815556</c:v>
                </c:pt>
                <c:pt idx="17">
                  <c:v>2.0469405832473382</c:v>
                </c:pt>
                <c:pt idx="18">
                  <c:v>2.4998617843269355</c:v>
                </c:pt>
                <c:pt idx="19">
                  <c:v>2.9527924042623162</c:v>
                </c:pt>
                <c:pt idx="20">
                  <c:v>3.3748669985373798</c:v>
                </c:pt>
                <c:pt idx="21">
                  <c:v>3.7373228397103158</c:v>
                </c:pt>
                <c:pt idx="22">
                  <c:v>4.0154599844280874</c:v>
                </c:pt>
                <c:pt idx="23">
                  <c:v>4.190324477647037</c:v>
                </c:pt>
                <c:pt idx="24">
                  <c:v>4.2499999902965984</c:v>
                </c:pt>
              </c:numCache>
            </c:numRef>
          </c:xVal>
          <c:yVal>
            <c:numRef>
              <c:f>'c'!$H$49:$H$73</c:f>
              <c:numCache>
                <c:formatCode>0.0</c:formatCode>
                <c:ptCount val="25"/>
                <c:pt idx="0">
                  <c:v>7.5</c:v>
                </c:pt>
                <c:pt idx="1">
                  <c:v>7.9529259119201434</c:v>
                </c:pt>
                <c:pt idx="2">
                  <c:v>8.3749867001569527</c:v>
                </c:pt>
                <c:pt idx="3">
                  <c:v>8.7374205780959517</c:v>
                </c:pt>
                <c:pt idx="4">
                  <c:v>9.0155290990923174</c:v>
                </c:pt>
                <c:pt idx="5">
                  <c:v>9.190360258696689</c:v>
                </c:pt>
                <c:pt idx="6">
                  <c:v>9.2499999993935376</c:v>
                </c:pt>
                <c:pt idx="7">
                  <c:v>9.1903841068718588</c:v>
                </c:pt>
                <c:pt idx="8">
                  <c:v>9.0155751702830962</c:v>
                </c:pt>
                <c:pt idx="9">
                  <c:v>8.7374857327314643</c:v>
                </c:pt>
                <c:pt idx="10">
                  <c:v>8.3750664982044469</c:v>
                </c:pt>
                <c:pt idx="11">
                  <c:v>7.953014915455797</c:v>
                </c:pt>
                <c:pt idx="12">
                  <c:v>7.500092143782096</c:v>
                </c:pt>
                <c:pt idx="13">
                  <c:v>7.0471630928712035</c:v>
                </c:pt>
                <c:pt idx="14">
                  <c:v>6.6250931003163549</c:v>
                </c:pt>
                <c:pt idx="15">
                  <c:v>6.2626445799701873</c:v>
                </c:pt>
                <c:pt idx="16">
                  <c:v>5.9845169763001156</c:v>
                </c:pt>
                <c:pt idx="17">
                  <c:v>5.8096635941648369</c:v>
                </c:pt>
                <c:pt idx="18">
                  <c:v>5.7500000054581637</c:v>
                </c:pt>
                <c:pt idx="19">
                  <c:v>5.8095920496393925</c:v>
                </c:pt>
                <c:pt idx="20">
                  <c:v>5.9843787627279053</c:v>
                </c:pt>
                <c:pt idx="21">
                  <c:v>6.262449116063828</c:v>
                </c:pt>
                <c:pt idx="22">
                  <c:v>6.6248537061740933</c:v>
                </c:pt>
                <c:pt idx="23">
                  <c:v>7.0468960822644879</c:v>
                </c:pt>
                <c:pt idx="24">
                  <c:v>7.4998157124360647</c:v>
                </c:pt>
              </c:numCache>
            </c:numRef>
          </c:yVal>
        </c:ser>
        <c:ser>
          <c:idx val="4"/>
          <c:order val="4"/>
          <c:tx>
            <c:v>panel</c:v>
          </c:tx>
          <c:spPr>
            <a:ln w="12700">
              <a:solidFill>
                <a:srgbClr val="000080"/>
              </a:solidFill>
              <a:prstDash val="solid"/>
            </a:ln>
          </c:spPr>
          <c:marker>
            <c:symbol val="none"/>
          </c:marker>
          <c:xVal>
            <c:numRef>
              <c:f>'c'!$O$13:$O$17</c:f>
              <c:numCache>
                <c:formatCode>General</c:formatCode>
                <c:ptCount val="5"/>
                <c:pt idx="0">
                  <c:v>11.5</c:v>
                </c:pt>
                <c:pt idx="1">
                  <c:v>11.5</c:v>
                </c:pt>
                <c:pt idx="3">
                  <c:v>18.25</c:v>
                </c:pt>
                <c:pt idx="4">
                  <c:v>18.25</c:v>
                </c:pt>
              </c:numCache>
            </c:numRef>
          </c:xVal>
          <c:yVal>
            <c:numRef>
              <c:f>'c'!$P$13:$P$17</c:f>
              <c:numCache>
                <c:formatCode>General</c:formatCode>
                <c:ptCount val="5"/>
                <c:pt idx="0">
                  <c:v>0</c:v>
                </c:pt>
                <c:pt idx="1">
                  <c:v>10</c:v>
                </c:pt>
                <c:pt idx="3">
                  <c:v>0</c:v>
                </c:pt>
                <c:pt idx="4">
                  <c:v>10</c:v>
                </c:pt>
              </c:numCache>
            </c:numRef>
          </c:yVal>
        </c:ser>
        <c:ser>
          <c:idx val="5"/>
          <c:order val="5"/>
          <c:tx>
            <c:v>hidden panel</c:v>
          </c:tx>
          <c:spPr>
            <a:ln w="12700">
              <a:solidFill>
                <a:srgbClr val="800000"/>
              </a:solidFill>
              <a:prstDash val="sysDash"/>
            </a:ln>
          </c:spPr>
          <c:marker>
            <c:symbol val="none"/>
          </c:marker>
          <c:xVal>
            <c:numRef>
              <c:f>'c'!$O$19:$O$35</c:f>
              <c:numCache>
                <c:formatCode>General</c:formatCode>
                <c:ptCount val="17"/>
                <c:pt idx="0">
                  <c:v>11.5</c:v>
                </c:pt>
                <c:pt idx="1">
                  <c:v>18.25</c:v>
                </c:pt>
                <c:pt idx="3">
                  <c:v>18.25</c:v>
                </c:pt>
                <c:pt idx="4">
                  <c:v>11.5</c:v>
                </c:pt>
                <c:pt idx="6">
                  <c:v>0.5</c:v>
                </c:pt>
                <c:pt idx="7">
                  <c:v>0.5</c:v>
                </c:pt>
                <c:pt idx="9">
                  <c:v>4.5</c:v>
                </c:pt>
                <c:pt idx="10">
                  <c:v>4.5</c:v>
                </c:pt>
                <c:pt idx="12">
                  <c:v>0.5</c:v>
                </c:pt>
                <c:pt idx="13">
                  <c:v>4.5</c:v>
                </c:pt>
                <c:pt idx="15">
                  <c:v>0.5</c:v>
                </c:pt>
                <c:pt idx="16">
                  <c:v>4.5</c:v>
                </c:pt>
              </c:numCache>
            </c:numRef>
          </c:xVal>
          <c:yVal>
            <c:numRef>
              <c:f>'c'!$P$19:$P$35</c:f>
              <c:numCache>
                <c:formatCode>General</c:formatCode>
                <c:ptCount val="17"/>
                <c:pt idx="0">
                  <c:v>0.5</c:v>
                </c:pt>
                <c:pt idx="1">
                  <c:v>0.5</c:v>
                </c:pt>
                <c:pt idx="3">
                  <c:v>9.5</c:v>
                </c:pt>
                <c:pt idx="4">
                  <c:v>9.5</c:v>
                </c:pt>
                <c:pt idx="6">
                  <c:v>0</c:v>
                </c:pt>
                <c:pt idx="7">
                  <c:v>10</c:v>
                </c:pt>
                <c:pt idx="9">
                  <c:v>0</c:v>
                </c:pt>
                <c:pt idx="10">
                  <c:v>10</c:v>
                </c:pt>
                <c:pt idx="12">
                  <c:v>0.5</c:v>
                </c:pt>
                <c:pt idx="13">
                  <c:v>0.5</c:v>
                </c:pt>
                <c:pt idx="15">
                  <c:v>9.5</c:v>
                </c:pt>
                <c:pt idx="16">
                  <c:v>9.5</c:v>
                </c:pt>
              </c:numCache>
            </c:numRef>
          </c:yVal>
        </c:ser>
        <c:ser>
          <c:idx val="6"/>
          <c:order val="6"/>
          <c:tx>
            <c:v>circle3</c:v>
          </c:tx>
          <c:spPr>
            <a:ln w="25400">
              <a:solidFill>
                <a:srgbClr val="800000"/>
              </a:solidFill>
              <a:prstDash val="solid"/>
            </a:ln>
          </c:spPr>
          <c:marker>
            <c:symbol val="square"/>
            <c:size val="3"/>
            <c:spPr>
              <a:noFill/>
              <a:ln w="9525">
                <a:noFill/>
              </a:ln>
            </c:spPr>
          </c:marker>
          <c:xVal>
            <c:numRef>
              <c:f>'c'!$F$89:$F$113</c:f>
              <c:numCache>
                <c:formatCode>#\ ?/8</c:formatCode>
                <c:ptCount val="25"/>
                <c:pt idx="0">
                  <c:v>4.25</c:v>
                </c:pt>
                <c:pt idx="1">
                  <c:v>4.1903721833700729</c:v>
                </c:pt>
                <c:pt idx="2">
                  <c:v>4.0155521352129222</c:v>
                </c:pt>
                <c:pt idx="3">
                  <c:v>3.7374531558425481</c:v>
                </c:pt>
                <c:pt idx="4">
                  <c:v>3.3750265994839399</c:v>
                </c:pt>
                <c:pt idx="5">
                  <c:v>2.9529704138449469</c:v>
                </c:pt>
                <c:pt idx="6">
                  <c:v>2.500046071891064</c:v>
                </c:pt>
                <c:pt idx="7">
                  <c:v>2.047118590318584</c:v>
                </c:pt>
                <c:pt idx="8">
                  <c:v>1.6250531997764885</c:v>
                </c:pt>
                <c:pt idx="9">
                  <c:v>1.2626120005083012</c:v>
                </c:pt>
                <c:pt idx="10">
                  <c:v>0.98449393807869989</c:v>
                </c:pt>
                <c:pt idx="11">
                  <c:v>0.80965166714828363</c:v>
                </c:pt>
                <c:pt idx="12">
                  <c:v>0.75000000242585041</c:v>
                </c:pt>
                <c:pt idx="13">
                  <c:v>0.80960397079795943</c:v>
                </c:pt>
                <c:pt idx="14">
                  <c:v>0.98440179569717334</c:v>
                </c:pt>
                <c:pt idx="15">
                  <c:v>1.2624816912373191</c:v>
                </c:pt>
                <c:pt idx="16">
                  <c:v>1.6248936036815556</c:v>
                </c:pt>
                <c:pt idx="17">
                  <c:v>2.0469405832473382</c:v>
                </c:pt>
                <c:pt idx="18">
                  <c:v>2.4998617843269355</c:v>
                </c:pt>
                <c:pt idx="19">
                  <c:v>2.9527924042623162</c:v>
                </c:pt>
                <c:pt idx="20">
                  <c:v>3.3748669985373798</c:v>
                </c:pt>
                <c:pt idx="21">
                  <c:v>3.7373228397103158</c:v>
                </c:pt>
                <c:pt idx="22">
                  <c:v>4.0154599844280874</c:v>
                </c:pt>
                <c:pt idx="23">
                  <c:v>4.190324477647037</c:v>
                </c:pt>
                <c:pt idx="24">
                  <c:v>4.2499999902965984</c:v>
                </c:pt>
              </c:numCache>
            </c:numRef>
          </c:xVal>
          <c:yVal>
            <c:numRef>
              <c:f>'c'!$H$89:$H$113</c:f>
              <c:numCache>
                <c:formatCode>0.0</c:formatCode>
                <c:ptCount val="25"/>
                <c:pt idx="0">
                  <c:v>2.5</c:v>
                </c:pt>
                <c:pt idx="1">
                  <c:v>2.952925911920143</c:v>
                </c:pt>
                <c:pt idx="2">
                  <c:v>3.3749867001569527</c:v>
                </c:pt>
                <c:pt idx="3">
                  <c:v>3.7374205780959517</c:v>
                </c:pt>
                <c:pt idx="4">
                  <c:v>4.0155290990923174</c:v>
                </c:pt>
                <c:pt idx="5">
                  <c:v>4.190360258696689</c:v>
                </c:pt>
                <c:pt idx="6">
                  <c:v>4.2499999993935376</c:v>
                </c:pt>
                <c:pt idx="7">
                  <c:v>4.1903841068718588</c:v>
                </c:pt>
                <c:pt idx="8">
                  <c:v>4.0155751702830971</c:v>
                </c:pt>
                <c:pt idx="9">
                  <c:v>3.7374857327314652</c:v>
                </c:pt>
                <c:pt idx="10">
                  <c:v>3.3750664982044465</c:v>
                </c:pt>
                <c:pt idx="11">
                  <c:v>2.9530149154557974</c:v>
                </c:pt>
                <c:pt idx="12">
                  <c:v>2.5000921437820955</c:v>
                </c:pt>
                <c:pt idx="13">
                  <c:v>2.0471630928712035</c:v>
                </c:pt>
                <c:pt idx="14">
                  <c:v>1.6250931003163553</c:v>
                </c:pt>
                <c:pt idx="15">
                  <c:v>1.2626445799701873</c:v>
                </c:pt>
                <c:pt idx="16">
                  <c:v>0.98451697630011514</c:v>
                </c:pt>
                <c:pt idx="17">
                  <c:v>0.80966359416483669</c:v>
                </c:pt>
                <c:pt idx="18">
                  <c:v>0.75000000545816348</c:v>
                </c:pt>
                <c:pt idx="19">
                  <c:v>0.80959204963939224</c:v>
                </c:pt>
                <c:pt idx="20">
                  <c:v>0.98437876272790481</c:v>
                </c:pt>
                <c:pt idx="21">
                  <c:v>1.262449116063828</c:v>
                </c:pt>
                <c:pt idx="22">
                  <c:v>1.6248537061740935</c:v>
                </c:pt>
                <c:pt idx="23">
                  <c:v>2.0468960822644875</c:v>
                </c:pt>
                <c:pt idx="24">
                  <c:v>2.4998157124360643</c:v>
                </c:pt>
              </c:numCache>
            </c:numRef>
          </c:yVal>
          <c:smooth val="1"/>
        </c:ser>
        <c:ser>
          <c:idx val="7"/>
          <c:order val="7"/>
          <c:tx>
            <c:v>circle side view</c:v>
          </c:tx>
          <c:spPr>
            <a:ln w="25400">
              <a:solidFill>
                <a:srgbClr val="000080"/>
              </a:solidFill>
              <a:prstDash val="solid"/>
            </a:ln>
          </c:spPr>
          <c:marker>
            <c:symbol val="none"/>
          </c:marker>
          <c:xVal>
            <c:numRef>
              <c:f>'c'!$L$115:$L$139</c:f>
              <c:numCache>
                <c:formatCode>#\ ?/8</c:formatCode>
                <c:ptCount val="25"/>
                <c:pt idx="0">
                  <c:v>14.875</c:v>
                </c:pt>
                <c:pt idx="1">
                  <c:v>14.875</c:v>
                </c:pt>
                <c:pt idx="2">
                  <c:v>14.875</c:v>
                </c:pt>
                <c:pt idx="3">
                  <c:v>14.875</c:v>
                </c:pt>
                <c:pt idx="4">
                  <c:v>14.875</c:v>
                </c:pt>
                <c:pt idx="5">
                  <c:v>14.875</c:v>
                </c:pt>
                <c:pt idx="6">
                  <c:v>14.875</c:v>
                </c:pt>
                <c:pt idx="7">
                  <c:v>14.875</c:v>
                </c:pt>
                <c:pt idx="8">
                  <c:v>14.875</c:v>
                </c:pt>
                <c:pt idx="9">
                  <c:v>14.875</c:v>
                </c:pt>
                <c:pt idx="10">
                  <c:v>14.875</c:v>
                </c:pt>
                <c:pt idx="11">
                  <c:v>14.875</c:v>
                </c:pt>
                <c:pt idx="12">
                  <c:v>14.875</c:v>
                </c:pt>
                <c:pt idx="13">
                  <c:v>14.875</c:v>
                </c:pt>
                <c:pt idx="14">
                  <c:v>14.875</c:v>
                </c:pt>
                <c:pt idx="15">
                  <c:v>14.875</c:v>
                </c:pt>
                <c:pt idx="16">
                  <c:v>14.875</c:v>
                </c:pt>
                <c:pt idx="17">
                  <c:v>14.875</c:v>
                </c:pt>
                <c:pt idx="18">
                  <c:v>14.875</c:v>
                </c:pt>
                <c:pt idx="19">
                  <c:v>14.875</c:v>
                </c:pt>
                <c:pt idx="20">
                  <c:v>14.875</c:v>
                </c:pt>
                <c:pt idx="21">
                  <c:v>14.875</c:v>
                </c:pt>
                <c:pt idx="22">
                  <c:v>14.875</c:v>
                </c:pt>
                <c:pt idx="23">
                  <c:v>14.875</c:v>
                </c:pt>
                <c:pt idx="24">
                  <c:v>14.875</c:v>
                </c:pt>
              </c:numCache>
            </c:numRef>
          </c:xVal>
          <c:yVal>
            <c:numRef>
              <c:f>'c'!$H$115:$H$139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er>
        <c:axId val="67126400"/>
        <c:axId val="67127936"/>
      </c:scatterChart>
      <c:valAx>
        <c:axId val="67126400"/>
        <c:scaling>
          <c:orientation val="minMax"/>
        </c:scaling>
        <c:axPos val="b"/>
        <c:numFmt formatCode="General" sourceLinked="1"/>
        <c:tickLblPos val="nextTo"/>
        <c:spPr>
          <a:ln w="9525">
            <a:noFill/>
          </a:ln>
        </c:spPr>
        <c:txPr>
          <a:bodyPr rot="0" vert="horz"/>
          <a:lstStyle/>
          <a:p>
            <a:pPr>
              <a:defRPr sz="875" b="0" i="0" u="none" strike="noStrike" baseline="0">
                <a:solidFill>
                  <a:srgbClr val="FFFFFF"/>
                </a:solidFill>
                <a:latin typeface="Arial"/>
                <a:ea typeface="Arial"/>
                <a:cs typeface="Arial"/>
              </a:defRPr>
            </a:pPr>
            <a:endParaRPr lang="en-US"/>
          </a:p>
        </c:txPr>
        <c:crossAx val="67127936"/>
        <c:crosses val="autoZero"/>
        <c:crossBetween val="midCat"/>
      </c:valAx>
      <c:valAx>
        <c:axId val="67127936"/>
        <c:scaling>
          <c:orientation val="minMax"/>
        </c:scaling>
        <c:axPos val="l"/>
        <c:majorGridlines>
          <c:spPr>
            <a:ln w="3175">
              <a:solidFill>
                <a:srgbClr val="FFFFFF"/>
              </a:solidFill>
              <a:prstDash val="solid"/>
            </a:ln>
          </c:spPr>
        </c:majorGridlines>
        <c:numFmt formatCode="General" sourceLinked="1"/>
        <c:tickLblPos val="nextTo"/>
        <c:spPr>
          <a:ln w="9525">
            <a:noFill/>
          </a:ln>
        </c:spPr>
        <c:txPr>
          <a:bodyPr rot="0" vert="horz"/>
          <a:lstStyle/>
          <a:p>
            <a:pPr>
              <a:defRPr sz="875" b="0" i="0" u="none" strike="noStrike" baseline="0">
                <a:solidFill>
                  <a:srgbClr val="FFFFFF"/>
                </a:solidFill>
                <a:latin typeface="Arial"/>
                <a:ea typeface="Arial"/>
                <a:cs typeface="Arial"/>
              </a:defRPr>
            </a:pPr>
            <a:endParaRPr lang="en-US"/>
          </a:p>
        </c:txPr>
        <c:crossAx val="67126400"/>
        <c:crosses val="autoZero"/>
        <c:crossBetween val="midCat"/>
      </c:valAx>
      <c:spPr>
        <a:noFill/>
        <a:ln w="25400">
          <a:noFill/>
        </a:ln>
      </c:spPr>
    </c:plotArea>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6</xdr:col>
      <xdr:colOff>411480</xdr:colOff>
      <xdr:row>22</xdr:row>
      <xdr:rowOff>7620</xdr:rowOff>
    </xdr:from>
    <xdr:to>
      <xdr:col>12</xdr:col>
      <xdr:colOff>655320</xdr:colOff>
      <xdr:row>50</xdr:row>
      <xdr:rowOff>434340</xdr:rowOff>
    </xdr:to>
    <xdr:graphicFrame macro="">
      <xdr:nvGraphicFramePr>
        <xdr:cNvPr id="2101"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220980</xdr:colOff>
      <xdr:row>22</xdr:row>
      <xdr:rowOff>7620</xdr:rowOff>
    </xdr:from>
    <xdr:to>
      <xdr:col>6</xdr:col>
      <xdr:colOff>632460</xdr:colOff>
      <xdr:row>50</xdr:row>
      <xdr:rowOff>419100</xdr:rowOff>
    </xdr:to>
    <xdr:graphicFrame macro="">
      <xdr:nvGraphicFramePr>
        <xdr:cNvPr id="2119"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205740</xdr:colOff>
      <xdr:row>1</xdr:row>
      <xdr:rowOff>38100</xdr:rowOff>
    </xdr:from>
    <xdr:to>
      <xdr:col>2</xdr:col>
      <xdr:colOff>381000</xdr:colOff>
      <xdr:row>1</xdr:row>
      <xdr:rowOff>312420</xdr:rowOff>
    </xdr:to>
    <xdr:grpSp>
      <xdr:nvGrpSpPr>
        <xdr:cNvPr id="2145" name="Group 97"/>
        <xdr:cNvGrpSpPr>
          <a:grpSpLocks/>
        </xdr:cNvGrpSpPr>
      </xdr:nvGrpSpPr>
      <xdr:grpSpPr bwMode="auto">
        <a:xfrm>
          <a:off x="1532516" y="100853"/>
          <a:ext cx="175260" cy="274320"/>
          <a:chOff x="353" y="155"/>
          <a:chExt cx="24" cy="38"/>
        </a:xfrm>
      </xdr:grpSpPr>
      <xdr:sp macro="" textlink="">
        <xdr:nvSpPr>
          <xdr:cNvPr id="2140" name="AutoShape 92"/>
          <xdr:cNvSpPr>
            <a:spLocks noChangeArrowheads="1"/>
          </xdr:cNvSpPr>
        </xdr:nvSpPr>
        <xdr:spPr bwMode="auto">
          <a:xfrm>
            <a:off x="353" y="155"/>
            <a:ext cx="24" cy="38"/>
          </a:xfrm>
          <a:prstGeom prst="cube">
            <a:avLst>
              <a:gd name="adj" fmla="val 41667"/>
            </a:avLst>
          </a:prstGeom>
          <a:solidFill>
            <a:srgbClr val="99CCFF"/>
          </a:solidFill>
          <a:ln w="9525">
            <a:noFill/>
            <a:miter lim="800000"/>
            <a:headEnd/>
            <a:tailEnd/>
          </a:ln>
        </xdr:spPr>
      </xdr:sp>
      <xdr:sp macro="" textlink="">
        <xdr:nvSpPr>
          <xdr:cNvPr id="2142" name="Oval 94"/>
          <xdr:cNvSpPr>
            <a:spLocks noChangeArrowheads="1"/>
          </xdr:cNvSpPr>
        </xdr:nvSpPr>
        <xdr:spPr bwMode="auto">
          <a:xfrm>
            <a:off x="354" y="176"/>
            <a:ext cx="12" cy="13"/>
          </a:xfrm>
          <a:prstGeom prst="ellipse">
            <a:avLst/>
          </a:prstGeom>
          <a:solidFill>
            <a:srgbClr val="3366FF"/>
          </a:solidFill>
          <a:ln w="9525">
            <a:noFill/>
            <a:round/>
            <a:headEnd/>
            <a:tailEnd/>
          </a:ln>
        </xdr:spPr>
      </xdr:sp>
      <xdr:sp macro="" textlink="">
        <xdr:nvSpPr>
          <xdr:cNvPr id="2143" name="Oval 95"/>
          <xdr:cNvSpPr>
            <a:spLocks noChangeArrowheads="1"/>
          </xdr:cNvSpPr>
        </xdr:nvSpPr>
        <xdr:spPr bwMode="auto">
          <a:xfrm>
            <a:off x="357" y="168"/>
            <a:ext cx="6" cy="7"/>
          </a:xfrm>
          <a:prstGeom prst="ellipse">
            <a:avLst/>
          </a:prstGeom>
          <a:solidFill>
            <a:srgbClr val="3366FF"/>
          </a:solidFill>
          <a:ln w="9525">
            <a:no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19</xdr:row>
      <xdr:rowOff>60960</xdr:rowOff>
    </xdr:from>
    <xdr:to>
      <xdr:col>8</xdr:col>
      <xdr:colOff>297180</xdr:colOff>
      <xdr:row>21</xdr:row>
      <xdr:rowOff>121920</xdr:rowOff>
    </xdr:to>
    <xdr:grpSp>
      <xdr:nvGrpSpPr>
        <xdr:cNvPr id="9236" name="Group 20"/>
        <xdr:cNvGrpSpPr>
          <a:grpSpLocks/>
        </xdr:cNvGrpSpPr>
      </xdr:nvGrpSpPr>
      <xdr:grpSpPr bwMode="auto">
        <a:xfrm>
          <a:off x="4541520" y="3329940"/>
          <a:ext cx="1051560" cy="396240"/>
          <a:chOff x="455" y="320"/>
          <a:chExt cx="94" cy="40"/>
        </a:xfrm>
      </xdr:grpSpPr>
      <xdr:sp macro="" textlink="">
        <xdr:nvSpPr>
          <xdr:cNvPr id="9218" name="Rectangle 2"/>
          <xdr:cNvSpPr>
            <a:spLocks noChangeArrowheads="1"/>
          </xdr:cNvSpPr>
        </xdr:nvSpPr>
        <xdr:spPr bwMode="auto">
          <a:xfrm>
            <a:off x="489" y="320"/>
            <a:ext cx="33" cy="14"/>
          </a:xfrm>
          <a:prstGeom prst="rect">
            <a:avLst/>
          </a:prstGeom>
          <a:solidFill>
            <a:srgbClr val="FFFFFF"/>
          </a:solidFill>
          <a:ln w="9525">
            <a:solidFill>
              <a:srgbClr val="000000"/>
            </a:solidFill>
            <a:miter lim="800000"/>
            <a:headEnd/>
            <a:tailEnd/>
          </a:ln>
        </xdr:spPr>
      </xdr:sp>
      <xdr:sp macro="" textlink="">
        <xdr:nvSpPr>
          <xdr:cNvPr id="9219" name="Rectangle 3"/>
          <xdr:cNvSpPr>
            <a:spLocks noChangeArrowheads="1"/>
          </xdr:cNvSpPr>
        </xdr:nvSpPr>
        <xdr:spPr bwMode="auto">
          <a:xfrm>
            <a:off x="489" y="346"/>
            <a:ext cx="33" cy="14"/>
          </a:xfrm>
          <a:prstGeom prst="rect">
            <a:avLst/>
          </a:prstGeom>
          <a:solidFill>
            <a:srgbClr val="FFFFFF"/>
          </a:solidFill>
          <a:ln w="9525">
            <a:solidFill>
              <a:srgbClr val="000000"/>
            </a:solidFill>
            <a:miter lim="800000"/>
            <a:headEnd/>
            <a:tailEnd/>
          </a:ln>
        </xdr:spPr>
      </xdr:sp>
      <xdr:sp macro="" textlink="">
        <xdr:nvSpPr>
          <xdr:cNvPr id="9221" name="Oval 5"/>
          <xdr:cNvSpPr>
            <a:spLocks noChangeArrowheads="1"/>
          </xdr:cNvSpPr>
        </xdr:nvSpPr>
        <xdr:spPr bwMode="auto">
          <a:xfrm>
            <a:off x="455" y="335"/>
            <a:ext cx="8" cy="8"/>
          </a:xfrm>
          <a:prstGeom prst="ellipse">
            <a:avLst/>
          </a:prstGeom>
          <a:solidFill>
            <a:srgbClr val="FFFFFF"/>
          </a:solidFill>
          <a:ln w="9525">
            <a:solidFill>
              <a:srgbClr val="000000"/>
            </a:solidFill>
            <a:round/>
            <a:headEnd/>
            <a:tailEnd/>
          </a:ln>
        </xdr:spPr>
      </xdr:sp>
      <xdr:sp macro="" textlink="">
        <xdr:nvSpPr>
          <xdr:cNvPr id="9222" name="Oval 6"/>
          <xdr:cNvSpPr>
            <a:spLocks noChangeArrowheads="1"/>
          </xdr:cNvSpPr>
        </xdr:nvSpPr>
        <xdr:spPr bwMode="auto">
          <a:xfrm>
            <a:off x="541" y="335"/>
            <a:ext cx="8" cy="8"/>
          </a:xfrm>
          <a:prstGeom prst="ellipse">
            <a:avLst/>
          </a:prstGeom>
          <a:solidFill>
            <a:srgbClr val="FFFFFF"/>
          </a:solidFill>
          <a:ln w="9525">
            <a:solidFill>
              <a:srgbClr val="000000"/>
            </a:solidFill>
            <a:round/>
            <a:headEnd/>
            <a:tailEnd/>
          </a:ln>
        </xdr:spPr>
      </xdr:sp>
      <xdr:cxnSp macro="">
        <xdr:nvCxnSpPr>
          <xdr:cNvPr id="9224" name="AutoShape 8"/>
          <xdr:cNvCxnSpPr>
            <a:cxnSpLocks noChangeShapeType="1"/>
            <a:stCxn id="9221" idx="6"/>
            <a:endCxn id="9218" idx="1"/>
          </xdr:cNvCxnSpPr>
        </xdr:nvCxnSpPr>
        <xdr:spPr bwMode="auto">
          <a:xfrm flipV="1">
            <a:off x="463" y="327"/>
            <a:ext cx="26" cy="12"/>
          </a:xfrm>
          <a:prstGeom prst="bentConnector3">
            <a:avLst>
              <a:gd name="adj1" fmla="val 50000"/>
            </a:avLst>
          </a:prstGeom>
          <a:noFill/>
          <a:ln w="9525">
            <a:solidFill>
              <a:srgbClr val="000000"/>
            </a:solidFill>
            <a:miter lim="800000"/>
            <a:headEnd/>
            <a:tailEnd/>
          </a:ln>
        </xdr:spPr>
      </xdr:cxnSp>
      <xdr:cxnSp macro="">
        <xdr:nvCxnSpPr>
          <xdr:cNvPr id="9225" name="AutoShape 9"/>
          <xdr:cNvCxnSpPr>
            <a:cxnSpLocks noChangeShapeType="1"/>
            <a:stCxn id="9218" idx="3"/>
            <a:endCxn id="9222" idx="2"/>
          </xdr:cNvCxnSpPr>
        </xdr:nvCxnSpPr>
        <xdr:spPr bwMode="auto">
          <a:xfrm>
            <a:off x="522" y="327"/>
            <a:ext cx="19" cy="12"/>
          </a:xfrm>
          <a:prstGeom prst="bentConnector3">
            <a:avLst>
              <a:gd name="adj1" fmla="val 47370"/>
            </a:avLst>
          </a:prstGeom>
          <a:noFill/>
          <a:ln w="9525">
            <a:solidFill>
              <a:srgbClr val="000000"/>
            </a:solidFill>
            <a:miter lim="800000"/>
            <a:headEnd/>
            <a:tailEnd/>
          </a:ln>
        </xdr:spPr>
      </xdr:cxnSp>
      <xdr:cxnSp macro="">
        <xdr:nvCxnSpPr>
          <xdr:cNvPr id="9226" name="AutoShape 10"/>
          <xdr:cNvCxnSpPr>
            <a:cxnSpLocks noChangeShapeType="1"/>
            <a:stCxn id="9221" idx="6"/>
            <a:endCxn id="9219" idx="1"/>
          </xdr:cNvCxnSpPr>
        </xdr:nvCxnSpPr>
        <xdr:spPr bwMode="auto">
          <a:xfrm>
            <a:off x="463" y="339"/>
            <a:ext cx="26" cy="14"/>
          </a:xfrm>
          <a:prstGeom prst="bentConnector3">
            <a:avLst>
              <a:gd name="adj1" fmla="val 50000"/>
            </a:avLst>
          </a:prstGeom>
          <a:noFill/>
          <a:ln w="9525">
            <a:solidFill>
              <a:srgbClr val="000000"/>
            </a:solidFill>
            <a:miter lim="800000"/>
            <a:headEnd/>
            <a:tailEnd/>
          </a:ln>
        </xdr:spPr>
      </xdr:cxnSp>
      <xdr:cxnSp macro="">
        <xdr:nvCxnSpPr>
          <xdr:cNvPr id="9227" name="AutoShape 11"/>
          <xdr:cNvCxnSpPr>
            <a:cxnSpLocks noChangeShapeType="1"/>
            <a:stCxn id="9219" idx="3"/>
            <a:endCxn id="9222" idx="2"/>
          </xdr:cNvCxnSpPr>
        </xdr:nvCxnSpPr>
        <xdr:spPr bwMode="auto">
          <a:xfrm flipV="1">
            <a:off x="522" y="339"/>
            <a:ext cx="19" cy="14"/>
          </a:xfrm>
          <a:prstGeom prst="bentConnector3">
            <a:avLst>
              <a:gd name="adj1" fmla="val 47370"/>
            </a:avLst>
          </a:prstGeom>
          <a:noFill/>
          <a:ln w="9525">
            <a:solidFill>
              <a:srgbClr val="000000"/>
            </a:solidFill>
            <a:miter lim="800000"/>
            <a:headEnd/>
            <a:tailEnd/>
          </a:ln>
        </xdr:spPr>
      </xdr:cxnSp>
    </xdr:grpSp>
    <xdr:clientData/>
  </xdr:twoCellAnchor>
  <xdr:twoCellAnchor>
    <xdr:from>
      <xdr:col>7</xdr:col>
      <xdr:colOff>7620</xdr:colOff>
      <xdr:row>10</xdr:row>
      <xdr:rowOff>60960</xdr:rowOff>
    </xdr:from>
    <xdr:to>
      <xdr:col>8</xdr:col>
      <xdr:colOff>518160</xdr:colOff>
      <xdr:row>11</xdr:row>
      <xdr:rowOff>7620</xdr:rowOff>
    </xdr:to>
    <xdr:grpSp>
      <xdr:nvGrpSpPr>
        <xdr:cNvPr id="9237" name="Group 21"/>
        <xdr:cNvGrpSpPr>
          <a:grpSpLocks/>
        </xdr:cNvGrpSpPr>
      </xdr:nvGrpSpPr>
      <xdr:grpSpPr bwMode="auto">
        <a:xfrm>
          <a:off x="4549140" y="1790700"/>
          <a:ext cx="1264920" cy="121920"/>
          <a:chOff x="479" y="399"/>
          <a:chExt cx="116" cy="14"/>
        </a:xfrm>
      </xdr:grpSpPr>
      <xdr:sp macro="" textlink="">
        <xdr:nvSpPr>
          <xdr:cNvPr id="9229" name="Rectangle 13"/>
          <xdr:cNvSpPr>
            <a:spLocks noChangeArrowheads="1"/>
          </xdr:cNvSpPr>
        </xdr:nvSpPr>
        <xdr:spPr bwMode="auto">
          <a:xfrm>
            <a:off x="496" y="399"/>
            <a:ext cx="33" cy="14"/>
          </a:xfrm>
          <a:prstGeom prst="rect">
            <a:avLst/>
          </a:prstGeom>
          <a:solidFill>
            <a:srgbClr val="FFFFFF"/>
          </a:solidFill>
          <a:ln w="9525">
            <a:solidFill>
              <a:srgbClr val="000000"/>
            </a:solidFill>
            <a:miter lim="800000"/>
            <a:headEnd/>
            <a:tailEnd/>
          </a:ln>
        </xdr:spPr>
      </xdr:sp>
      <xdr:sp macro="" textlink="">
        <xdr:nvSpPr>
          <xdr:cNvPr id="9230" name="Rectangle 14"/>
          <xdr:cNvSpPr>
            <a:spLocks noChangeArrowheads="1"/>
          </xdr:cNvSpPr>
        </xdr:nvSpPr>
        <xdr:spPr bwMode="auto">
          <a:xfrm>
            <a:off x="545" y="399"/>
            <a:ext cx="33" cy="14"/>
          </a:xfrm>
          <a:prstGeom prst="rect">
            <a:avLst/>
          </a:prstGeom>
          <a:solidFill>
            <a:srgbClr val="FFFFFF"/>
          </a:solidFill>
          <a:ln w="9525">
            <a:solidFill>
              <a:srgbClr val="000000"/>
            </a:solidFill>
            <a:miter lim="800000"/>
            <a:headEnd/>
            <a:tailEnd/>
          </a:ln>
        </xdr:spPr>
      </xdr:sp>
      <xdr:sp macro="" textlink="">
        <xdr:nvSpPr>
          <xdr:cNvPr id="9231" name="Oval 15"/>
          <xdr:cNvSpPr>
            <a:spLocks noChangeArrowheads="1"/>
          </xdr:cNvSpPr>
        </xdr:nvSpPr>
        <xdr:spPr bwMode="auto">
          <a:xfrm>
            <a:off x="479" y="402"/>
            <a:ext cx="8" cy="8"/>
          </a:xfrm>
          <a:prstGeom prst="ellipse">
            <a:avLst/>
          </a:prstGeom>
          <a:solidFill>
            <a:srgbClr val="FFFFFF"/>
          </a:solidFill>
          <a:ln w="9525">
            <a:solidFill>
              <a:srgbClr val="000000"/>
            </a:solidFill>
            <a:round/>
            <a:headEnd/>
            <a:tailEnd/>
          </a:ln>
        </xdr:spPr>
      </xdr:sp>
      <xdr:sp macro="" textlink="">
        <xdr:nvSpPr>
          <xdr:cNvPr id="9232" name="Oval 16"/>
          <xdr:cNvSpPr>
            <a:spLocks noChangeArrowheads="1"/>
          </xdr:cNvSpPr>
        </xdr:nvSpPr>
        <xdr:spPr bwMode="auto">
          <a:xfrm>
            <a:off x="587" y="402"/>
            <a:ext cx="8" cy="8"/>
          </a:xfrm>
          <a:prstGeom prst="ellipse">
            <a:avLst/>
          </a:prstGeom>
          <a:solidFill>
            <a:srgbClr val="FFFFFF"/>
          </a:solidFill>
          <a:ln w="9525">
            <a:solidFill>
              <a:srgbClr val="000000"/>
            </a:solidFill>
            <a:round/>
            <a:headEnd/>
            <a:tailEnd/>
          </a:ln>
        </xdr:spPr>
      </xdr:sp>
      <xdr:cxnSp macro="">
        <xdr:nvCxnSpPr>
          <xdr:cNvPr id="9233" name="AutoShape 17"/>
          <xdr:cNvCxnSpPr>
            <a:cxnSpLocks noChangeShapeType="1"/>
            <a:stCxn id="9231" idx="6"/>
            <a:endCxn id="9229" idx="1"/>
          </xdr:cNvCxnSpPr>
        </xdr:nvCxnSpPr>
        <xdr:spPr bwMode="auto">
          <a:xfrm>
            <a:off x="487" y="406"/>
            <a:ext cx="9" cy="0"/>
          </a:xfrm>
          <a:prstGeom prst="straightConnector1">
            <a:avLst/>
          </a:prstGeom>
          <a:noFill/>
          <a:ln w="9525">
            <a:solidFill>
              <a:srgbClr val="000000"/>
            </a:solidFill>
            <a:round/>
            <a:headEnd/>
            <a:tailEnd/>
          </a:ln>
        </xdr:spPr>
      </xdr:cxnSp>
      <xdr:cxnSp macro="">
        <xdr:nvCxnSpPr>
          <xdr:cNvPr id="9234" name="AutoShape 18"/>
          <xdr:cNvCxnSpPr>
            <a:cxnSpLocks noChangeShapeType="1"/>
            <a:stCxn id="9229" idx="3"/>
            <a:endCxn id="9230" idx="1"/>
          </xdr:cNvCxnSpPr>
        </xdr:nvCxnSpPr>
        <xdr:spPr bwMode="auto">
          <a:xfrm>
            <a:off x="529" y="406"/>
            <a:ext cx="16" cy="0"/>
          </a:xfrm>
          <a:prstGeom prst="straightConnector1">
            <a:avLst/>
          </a:prstGeom>
          <a:noFill/>
          <a:ln w="9525">
            <a:solidFill>
              <a:srgbClr val="000000"/>
            </a:solidFill>
            <a:round/>
            <a:headEnd/>
            <a:tailEnd/>
          </a:ln>
        </xdr:spPr>
      </xdr:cxnSp>
      <xdr:cxnSp macro="">
        <xdr:nvCxnSpPr>
          <xdr:cNvPr id="9235" name="AutoShape 19"/>
          <xdr:cNvCxnSpPr>
            <a:cxnSpLocks noChangeShapeType="1"/>
            <a:stCxn id="9230" idx="3"/>
            <a:endCxn id="9232" idx="2"/>
          </xdr:cNvCxnSpPr>
        </xdr:nvCxnSpPr>
        <xdr:spPr bwMode="auto">
          <a:xfrm>
            <a:off x="578" y="406"/>
            <a:ext cx="9" cy="0"/>
          </a:xfrm>
          <a:prstGeom prst="straightConnector1">
            <a:avLst/>
          </a:prstGeom>
          <a:noFill/>
          <a:ln w="9525">
            <a:solidFill>
              <a:srgbClr val="000000"/>
            </a:solidFill>
            <a:round/>
            <a:headEnd/>
            <a:tailEnd/>
          </a:ln>
        </xdr:spPr>
      </xdr:cxnSp>
    </xdr:grpSp>
    <xdr:clientData/>
  </xdr:twoCellAnchor>
  <xdr:twoCellAnchor>
    <xdr:from>
      <xdr:col>6</xdr:col>
      <xdr:colOff>518160</xdr:colOff>
      <xdr:row>39</xdr:row>
      <xdr:rowOff>137160</xdr:rowOff>
    </xdr:from>
    <xdr:to>
      <xdr:col>13</xdr:col>
      <xdr:colOff>289560</xdr:colOff>
      <xdr:row>51</xdr:row>
      <xdr:rowOff>91440</xdr:rowOff>
    </xdr:to>
    <xdr:grpSp>
      <xdr:nvGrpSpPr>
        <xdr:cNvPr id="9512" name="Group 296"/>
        <xdr:cNvGrpSpPr>
          <a:grpSpLocks/>
        </xdr:cNvGrpSpPr>
      </xdr:nvGrpSpPr>
      <xdr:grpSpPr bwMode="auto">
        <a:xfrm>
          <a:off x="4434840" y="6835140"/>
          <a:ext cx="4465320" cy="1973580"/>
          <a:chOff x="451" y="683"/>
          <a:chExt cx="457" cy="200"/>
        </a:xfrm>
      </xdr:grpSpPr>
      <xdr:cxnSp macro="">
        <xdr:nvCxnSpPr>
          <xdr:cNvPr id="9329" name="AutoShape 113"/>
          <xdr:cNvCxnSpPr>
            <a:cxnSpLocks noChangeShapeType="1"/>
          </xdr:cNvCxnSpPr>
        </xdr:nvCxnSpPr>
        <xdr:spPr bwMode="auto">
          <a:xfrm flipH="1">
            <a:off x="711" y="789"/>
            <a:ext cx="127" cy="0"/>
          </a:xfrm>
          <a:prstGeom prst="straightConnector1">
            <a:avLst/>
          </a:prstGeom>
          <a:noFill/>
          <a:ln w="9525">
            <a:solidFill>
              <a:srgbClr val="000000"/>
            </a:solidFill>
            <a:round/>
            <a:headEnd/>
            <a:tailEnd/>
          </a:ln>
        </xdr:spPr>
      </xdr:cxnSp>
      <xdr:cxnSp macro="">
        <xdr:nvCxnSpPr>
          <xdr:cNvPr id="9353" name="AutoShape 137"/>
          <xdr:cNvCxnSpPr>
            <a:cxnSpLocks noChangeShapeType="1"/>
          </xdr:cNvCxnSpPr>
        </xdr:nvCxnSpPr>
        <xdr:spPr bwMode="auto">
          <a:xfrm flipV="1">
            <a:off x="604" y="730"/>
            <a:ext cx="0" cy="30"/>
          </a:xfrm>
          <a:prstGeom prst="straightConnector1">
            <a:avLst/>
          </a:prstGeom>
          <a:noFill/>
          <a:ln w="9525">
            <a:solidFill>
              <a:srgbClr val="000000"/>
            </a:solidFill>
            <a:round/>
            <a:headEnd/>
            <a:tailEnd/>
          </a:ln>
        </xdr:spPr>
      </xdr:cxnSp>
      <xdr:cxnSp macro="">
        <xdr:nvCxnSpPr>
          <xdr:cNvPr id="9354" name="AutoShape 138"/>
          <xdr:cNvCxnSpPr>
            <a:cxnSpLocks noChangeShapeType="1"/>
          </xdr:cNvCxnSpPr>
        </xdr:nvCxnSpPr>
        <xdr:spPr bwMode="auto">
          <a:xfrm flipV="1">
            <a:off x="604" y="810"/>
            <a:ext cx="0" cy="27"/>
          </a:xfrm>
          <a:prstGeom prst="straightConnector1">
            <a:avLst/>
          </a:prstGeom>
          <a:noFill/>
          <a:ln w="9525">
            <a:solidFill>
              <a:srgbClr val="000000"/>
            </a:solidFill>
            <a:round/>
            <a:headEnd/>
            <a:tailEnd/>
          </a:ln>
        </xdr:spPr>
      </xdr:cxnSp>
      <xdr:cxnSp macro="">
        <xdr:nvCxnSpPr>
          <xdr:cNvPr id="9359" name="AutoShape 143"/>
          <xdr:cNvCxnSpPr>
            <a:cxnSpLocks noChangeShapeType="1"/>
          </xdr:cNvCxnSpPr>
        </xdr:nvCxnSpPr>
        <xdr:spPr bwMode="auto">
          <a:xfrm flipV="1">
            <a:off x="451" y="692"/>
            <a:ext cx="152" cy="80"/>
          </a:xfrm>
          <a:prstGeom prst="bentConnector4">
            <a:avLst>
              <a:gd name="adj1" fmla="val 46051"/>
              <a:gd name="adj2" fmla="val 126250"/>
            </a:avLst>
          </a:prstGeom>
          <a:noFill/>
          <a:ln w="9525">
            <a:solidFill>
              <a:srgbClr val="000000"/>
            </a:solidFill>
            <a:miter lim="800000"/>
            <a:headEnd/>
            <a:tailEnd/>
          </a:ln>
        </xdr:spPr>
      </xdr:cxnSp>
      <xdr:cxnSp macro="">
        <xdr:nvCxnSpPr>
          <xdr:cNvPr id="9360" name="AutoShape 144"/>
          <xdr:cNvCxnSpPr>
            <a:cxnSpLocks noChangeShapeType="1"/>
          </xdr:cNvCxnSpPr>
        </xdr:nvCxnSpPr>
        <xdr:spPr bwMode="auto">
          <a:xfrm>
            <a:off x="452" y="789"/>
            <a:ext cx="150" cy="94"/>
          </a:xfrm>
          <a:prstGeom prst="bentConnector4">
            <a:avLst>
              <a:gd name="adj1" fmla="val 44667"/>
              <a:gd name="adj2" fmla="val 115958"/>
            </a:avLst>
          </a:prstGeom>
          <a:noFill/>
          <a:ln w="9525">
            <a:solidFill>
              <a:srgbClr val="000000"/>
            </a:solidFill>
            <a:miter lim="800000"/>
            <a:headEnd/>
            <a:tailEnd/>
          </a:ln>
        </xdr:spPr>
      </xdr:cxnSp>
      <xdr:cxnSp macro="">
        <xdr:nvCxnSpPr>
          <xdr:cNvPr id="9363" name="AutoShape 147"/>
          <xdr:cNvCxnSpPr>
            <a:cxnSpLocks noChangeShapeType="1"/>
          </xdr:cNvCxnSpPr>
        </xdr:nvCxnSpPr>
        <xdr:spPr bwMode="auto">
          <a:xfrm>
            <a:off x="708" y="683"/>
            <a:ext cx="199" cy="79"/>
          </a:xfrm>
          <a:prstGeom prst="bentConnector3">
            <a:avLst>
              <a:gd name="adj1" fmla="val 77889"/>
            </a:avLst>
          </a:prstGeom>
          <a:noFill/>
          <a:ln w="9525">
            <a:solidFill>
              <a:srgbClr val="000000"/>
            </a:solidFill>
            <a:miter lim="800000"/>
            <a:headEnd/>
            <a:tailEnd/>
          </a:ln>
        </xdr:spPr>
      </xdr:cxnSp>
      <xdr:cxnSp macro="">
        <xdr:nvCxnSpPr>
          <xdr:cNvPr id="9364" name="AutoShape 148"/>
          <xdr:cNvCxnSpPr>
            <a:cxnSpLocks noChangeShapeType="1"/>
          </xdr:cNvCxnSpPr>
        </xdr:nvCxnSpPr>
        <xdr:spPr bwMode="auto">
          <a:xfrm>
            <a:off x="709" y="747"/>
            <a:ext cx="128" cy="42"/>
          </a:xfrm>
          <a:prstGeom prst="bentConnector3">
            <a:avLst>
              <a:gd name="adj1" fmla="val 100782"/>
            </a:avLst>
          </a:prstGeom>
          <a:noFill/>
          <a:ln w="9525">
            <a:solidFill>
              <a:srgbClr val="000000"/>
            </a:solidFill>
            <a:miter lim="800000"/>
            <a:headEnd/>
            <a:tailEnd/>
          </a:ln>
        </xdr:spPr>
      </xdr:cxnSp>
      <xdr:cxnSp macro="">
        <xdr:nvCxnSpPr>
          <xdr:cNvPr id="9365" name="AutoShape 149"/>
          <xdr:cNvCxnSpPr>
            <a:cxnSpLocks noChangeShapeType="1"/>
          </xdr:cNvCxnSpPr>
        </xdr:nvCxnSpPr>
        <xdr:spPr bwMode="auto">
          <a:xfrm flipV="1">
            <a:off x="712" y="781"/>
            <a:ext cx="196" cy="71"/>
          </a:xfrm>
          <a:prstGeom prst="bentConnector3">
            <a:avLst>
              <a:gd name="adj1" fmla="val 77037"/>
            </a:avLst>
          </a:prstGeom>
          <a:noFill/>
          <a:ln w="9525">
            <a:solidFill>
              <a:srgbClr val="000000"/>
            </a:solidFill>
            <a:miter lim="800000"/>
            <a:headEnd/>
            <a:tailEnd/>
          </a:ln>
        </xdr:spPr>
      </xdr:cxnSp>
      <xdr:sp macro="" textlink="">
        <xdr:nvSpPr>
          <xdr:cNvPr id="9368" name="Text Box 152"/>
          <xdr:cNvSpPr txBox="1">
            <a:spLocks noChangeArrowheads="1"/>
          </xdr:cNvSpPr>
        </xdr:nvSpPr>
        <xdr:spPr bwMode="auto">
          <a:xfrm>
            <a:off x="835" y="727"/>
            <a:ext cx="25" cy="17"/>
          </a:xfrm>
          <a:prstGeom prst="rect">
            <a:avLst/>
          </a:prstGeom>
          <a:noFill/>
          <a:ln w="9525">
            <a:noFill/>
            <a:miter lim="800000"/>
            <a:headEnd/>
            <a:tailEnd/>
          </a:ln>
        </xdr:spPr>
        <xdr:txBody>
          <a:bodyPr vertOverflow="clip" wrap="square" lIns="36576" tIns="27432" rIns="0" bIns="0" anchor="t" upright="1"/>
          <a:lstStyle/>
          <a:p>
            <a:pPr algn="l" rtl="0">
              <a:defRPr sz="1000"/>
            </a:pPr>
            <a:r>
              <a:rPr lang="en-CA" sz="1000" b="1" i="0" u="none" strike="noStrike" baseline="0">
                <a:solidFill>
                  <a:srgbClr val="008000"/>
                </a:solidFill>
                <a:latin typeface="Arial"/>
                <a:cs typeface="Arial"/>
              </a:rPr>
              <a:t>n1</a:t>
            </a:r>
          </a:p>
        </xdr:txBody>
      </xdr:sp>
    </xdr:grpSp>
    <xdr:clientData/>
  </xdr:twoCellAnchor>
  <xdr:twoCellAnchor>
    <xdr:from>
      <xdr:col>10</xdr:col>
      <xdr:colOff>381000</xdr:colOff>
      <xdr:row>39</xdr:row>
      <xdr:rowOff>144780</xdr:rowOff>
    </xdr:from>
    <xdr:to>
      <xdr:col>11</xdr:col>
      <xdr:colOff>91440</xdr:colOff>
      <xdr:row>43</xdr:row>
      <xdr:rowOff>76200</xdr:rowOff>
    </xdr:to>
    <xdr:sp macro="" textlink="">
      <xdr:nvSpPr>
        <xdr:cNvPr id="9463" name="AutoShape 247"/>
        <xdr:cNvSpPr>
          <a:spLocks noChangeArrowheads="1"/>
        </xdr:cNvSpPr>
      </xdr:nvSpPr>
      <xdr:spPr bwMode="auto">
        <a:xfrm rot="16200000">
          <a:off x="6888480" y="7010400"/>
          <a:ext cx="601980" cy="26670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FF0000"/>
              </a:solidFill>
              <a:latin typeface="Arial"/>
              <a:cs typeface="Arial"/>
            </a:rPr>
            <a:t>m3</a:t>
          </a:r>
        </a:p>
      </xdr:txBody>
    </xdr:sp>
    <xdr:clientData/>
  </xdr:twoCellAnchor>
  <xdr:twoCellAnchor>
    <xdr:from>
      <xdr:col>11</xdr:col>
      <xdr:colOff>685800</xdr:colOff>
      <xdr:row>39</xdr:row>
      <xdr:rowOff>144780</xdr:rowOff>
    </xdr:from>
    <xdr:to>
      <xdr:col>12</xdr:col>
      <xdr:colOff>198120</xdr:colOff>
      <xdr:row>43</xdr:row>
      <xdr:rowOff>76200</xdr:rowOff>
    </xdr:to>
    <xdr:sp macro="" textlink="">
      <xdr:nvSpPr>
        <xdr:cNvPr id="9464" name="AutoShape 248"/>
        <xdr:cNvSpPr>
          <a:spLocks noChangeArrowheads="1"/>
        </xdr:cNvSpPr>
      </xdr:nvSpPr>
      <xdr:spPr bwMode="auto">
        <a:xfrm rot="16200000">
          <a:off x="7749540" y="7010400"/>
          <a:ext cx="601980" cy="26670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FF0000"/>
              </a:solidFill>
              <a:latin typeface="Arial"/>
              <a:cs typeface="Arial"/>
            </a:rPr>
            <a:t>m1</a:t>
          </a:r>
        </a:p>
      </xdr:txBody>
    </xdr:sp>
    <xdr:clientData/>
  </xdr:twoCellAnchor>
  <xdr:twoCellAnchor>
    <xdr:from>
      <xdr:col>11</xdr:col>
      <xdr:colOff>251460</xdr:colOff>
      <xdr:row>39</xdr:row>
      <xdr:rowOff>137160</xdr:rowOff>
    </xdr:from>
    <xdr:to>
      <xdr:col>11</xdr:col>
      <xdr:colOff>518160</xdr:colOff>
      <xdr:row>43</xdr:row>
      <xdr:rowOff>68580</xdr:rowOff>
    </xdr:to>
    <xdr:sp macro="" textlink="">
      <xdr:nvSpPr>
        <xdr:cNvPr id="9465" name="AutoShape 249"/>
        <xdr:cNvSpPr>
          <a:spLocks noChangeArrowheads="1"/>
        </xdr:cNvSpPr>
      </xdr:nvSpPr>
      <xdr:spPr bwMode="auto">
        <a:xfrm rot="16200000">
          <a:off x="7315200" y="7002780"/>
          <a:ext cx="601980" cy="26670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FF0000"/>
              </a:solidFill>
              <a:latin typeface="Arial"/>
              <a:cs typeface="Arial"/>
            </a:rPr>
            <a:t>m2</a:t>
          </a:r>
          <a:endParaRPr lang="en-CA" sz="800" b="1" i="0" u="none" strike="noStrike" baseline="0">
            <a:solidFill>
              <a:srgbClr val="008000"/>
            </a:solidFill>
            <a:latin typeface="Arial"/>
            <a:cs typeface="Arial"/>
          </a:endParaRPr>
        </a:p>
        <a:p>
          <a:pPr algn="l" rtl="0">
            <a:defRPr sz="1000"/>
          </a:pPr>
          <a:endParaRPr lang="en-CA" sz="800" b="1" i="0" u="none" strike="noStrike" baseline="0">
            <a:solidFill>
              <a:srgbClr val="008000"/>
            </a:solidFill>
            <a:latin typeface="Arial"/>
            <a:cs typeface="Arial"/>
          </a:endParaRPr>
        </a:p>
        <a:p>
          <a:pPr algn="l" rtl="0">
            <a:defRPr sz="1000"/>
          </a:pPr>
          <a:r>
            <a:rPr lang="en-CA" sz="800" b="1" i="0" u="none" strike="noStrike" baseline="0">
              <a:solidFill>
                <a:srgbClr val="FF0000"/>
              </a:solidFill>
              <a:latin typeface="Arial"/>
              <a:cs typeface="Arial"/>
            </a:rPr>
            <a:t>m2</a:t>
          </a:r>
        </a:p>
      </xdr:txBody>
    </xdr:sp>
    <xdr:clientData/>
  </xdr:twoCellAnchor>
  <xdr:twoCellAnchor>
    <xdr:from>
      <xdr:col>8</xdr:col>
      <xdr:colOff>502920</xdr:colOff>
      <xdr:row>39</xdr:row>
      <xdr:rowOff>160020</xdr:rowOff>
    </xdr:from>
    <xdr:to>
      <xdr:col>9</xdr:col>
      <xdr:colOff>7620</xdr:colOff>
      <xdr:row>43</xdr:row>
      <xdr:rowOff>60960</xdr:rowOff>
    </xdr:to>
    <xdr:sp macro="" textlink="">
      <xdr:nvSpPr>
        <xdr:cNvPr id="9468" name="AutoShape 252"/>
        <xdr:cNvSpPr>
          <a:spLocks noChangeArrowheads="1"/>
        </xdr:cNvSpPr>
      </xdr:nvSpPr>
      <xdr:spPr bwMode="auto">
        <a:xfrm rot="5400000">
          <a:off x="5642610" y="7014210"/>
          <a:ext cx="571500" cy="25908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008000"/>
              </a:solidFill>
              <a:latin typeface="Arial"/>
              <a:cs typeface="Arial"/>
            </a:rPr>
            <a:t>n1</a:t>
          </a:r>
        </a:p>
      </xdr:txBody>
    </xdr:sp>
    <xdr:clientData/>
  </xdr:twoCellAnchor>
  <xdr:twoCellAnchor>
    <xdr:from>
      <xdr:col>11</xdr:col>
      <xdr:colOff>655320</xdr:colOff>
      <xdr:row>46</xdr:row>
      <xdr:rowOff>22860</xdr:rowOff>
    </xdr:from>
    <xdr:to>
      <xdr:col>12</xdr:col>
      <xdr:colOff>160020</xdr:colOff>
      <xdr:row>49</xdr:row>
      <xdr:rowOff>121920</xdr:rowOff>
    </xdr:to>
    <xdr:sp macro="" textlink="">
      <xdr:nvSpPr>
        <xdr:cNvPr id="9473" name="AutoShape 257"/>
        <xdr:cNvSpPr>
          <a:spLocks noChangeArrowheads="1"/>
        </xdr:cNvSpPr>
      </xdr:nvSpPr>
      <xdr:spPr bwMode="auto">
        <a:xfrm rot="16200000">
          <a:off x="7715250" y="8073390"/>
          <a:ext cx="601980" cy="25908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FF0000"/>
              </a:solidFill>
              <a:latin typeface="Arial"/>
              <a:cs typeface="Arial"/>
            </a:rPr>
            <a:t>m4</a:t>
          </a:r>
        </a:p>
      </xdr:txBody>
    </xdr:sp>
    <xdr:clientData/>
  </xdr:twoCellAnchor>
  <xdr:twoCellAnchor>
    <xdr:from>
      <xdr:col>11</xdr:col>
      <xdr:colOff>266700</xdr:colOff>
      <xdr:row>46</xdr:row>
      <xdr:rowOff>7620</xdr:rowOff>
    </xdr:from>
    <xdr:to>
      <xdr:col>11</xdr:col>
      <xdr:colOff>518160</xdr:colOff>
      <xdr:row>49</xdr:row>
      <xdr:rowOff>106680</xdr:rowOff>
    </xdr:to>
    <xdr:sp macro="" textlink="">
      <xdr:nvSpPr>
        <xdr:cNvPr id="9474" name="AutoShape 258"/>
        <xdr:cNvSpPr>
          <a:spLocks noChangeArrowheads="1"/>
        </xdr:cNvSpPr>
      </xdr:nvSpPr>
      <xdr:spPr bwMode="auto">
        <a:xfrm rot="16200000">
          <a:off x="7322820" y="8061960"/>
          <a:ext cx="601980" cy="25146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FF0000"/>
              </a:solidFill>
              <a:latin typeface="Arial"/>
              <a:cs typeface="Arial"/>
            </a:rPr>
            <a:t>m5</a:t>
          </a:r>
        </a:p>
      </xdr:txBody>
    </xdr:sp>
    <xdr:clientData/>
  </xdr:twoCellAnchor>
  <xdr:twoCellAnchor>
    <xdr:from>
      <xdr:col>10</xdr:col>
      <xdr:colOff>388620</xdr:colOff>
      <xdr:row>46</xdr:row>
      <xdr:rowOff>7620</xdr:rowOff>
    </xdr:from>
    <xdr:to>
      <xdr:col>11</xdr:col>
      <xdr:colOff>106680</xdr:colOff>
      <xdr:row>49</xdr:row>
      <xdr:rowOff>106680</xdr:rowOff>
    </xdr:to>
    <xdr:sp macro="" textlink="">
      <xdr:nvSpPr>
        <xdr:cNvPr id="9475" name="AutoShape 259"/>
        <xdr:cNvSpPr>
          <a:spLocks noChangeArrowheads="1"/>
        </xdr:cNvSpPr>
      </xdr:nvSpPr>
      <xdr:spPr bwMode="auto">
        <a:xfrm rot="16200000">
          <a:off x="6899910" y="8050530"/>
          <a:ext cx="601980" cy="27432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FF0000"/>
              </a:solidFill>
              <a:latin typeface="Arial"/>
              <a:cs typeface="Arial"/>
            </a:rPr>
            <a:t>m6</a:t>
          </a:r>
        </a:p>
      </xdr:txBody>
    </xdr:sp>
    <xdr:clientData/>
  </xdr:twoCellAnchor>
  <xdr:twoCellAnchor>
    <xdr:from>
      <xdr:col>8</xdr:col>
      <xdr:colOff>518160</xdr:colOff>
      <xdr:row>48</xdr:row>
      <xdr:rowOff>38100</xdr:rowOff>
    </xdr:from>
    <xdr:to>
      <xdr:col>9</xdr:col>
      <xdr:colOff>7620</xdr:colOff>
      <xdr:row>52</xdr:row>
      <xdr:rowOff>0</xdr:rowOff>
    </xdr:to>
    <xdr:sp macro="" textlink="">
      <xdr:nvSpPr>
        <xdr:cNvPr id="9476" name="AutoShape 260"/>
        <xdr:cNvSpPr>
          <a:spLocks noChangeArrowheads="1"/>
        </xdr:cNvSpPr>
      </xdr:nvSpPr>
      <xdr:spPr bwMode="auto">
        <a:xfrm rot="5400000">
          <a:off x="5619750" y="8446770"/>
          <a:ext cx="632460" cy="24384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008000"/>
              </a:solidFill>
              <a:latin typeface="Arial"/>
              <a:cs typeface="Arial"/>
            </a:rPr>
            <a:t>n3</a:t>
          </a:r>
        </a:p>
      </xdr:txBody>
    </xdr:sp>
    <xdr:clientData/>
  </xdr:twoCellAnchor>
  <xdr:twoCellAnchor>
    <xdr:from>
      <xdr:col>8</xdr:col>
      <xdr:colOff>487680</xdr:colOff>
      <xdr:row>43</xdr:row>
      <xdr:rowOff>137160</xdr:rowOff>
    </xdr:from>
    <xdr:to>
      <xdr:col>9</xdr:col>
      <xdr:colOff>0</xdr:colOff>
      <xdr:row>47</xdr:row>
      <xdr:rowOff>99060</xdr:rowOff>
    </xdr:to>
    <xdr:sp macro="" textlink="">
      <xdr:nvSpPr>
        <xdr:cNvPr id="9478" name="AutoShape 262"/>
        <xdr:cNvSpPr>
          <a:spLocks noChangeArrowheads="1"/>
        </xdr:cNvSpPr>
      </xdr:nvSpPr>
      <xdr:spPr bwMode="auto">
        <a:xfrm rot="5400000">
          <a:off x="5596890" y="7692390"/>
          <a:ext cx="640080" cy="26670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en-CA" sz="800" b="1" i="0" u="none" strike="noStrike" baseline="0">
              <a:solidFill>
                <a:srgbClr val="008000"/>
              </a:solidFill>
              <a:latin typeface="Arial"/>
              <a:cs typeface="Arial"/>
            </a:rPr>
            <a:t>n2</a:t>
          </a:r>
        </a:p>
      </xdr:txBody>
    </xdr:sp>
    <xdr:clientData/>
  </xdr:twoCellAnchor>
  <xdr:twoCellAnchor>
    <xdr:from>
      <xdr:col>12</xdr:col>
      <xdr:colOff>198120</xdr:colOff>
      <xdr:row>46</xdr:row>
      <xdr:rowOff>30480</xdr:rowOff>
    </xdr:from>
    <xdr:to>
      <xdr:col>12</xdr:col>
      <xdr:colOff>441960</xdr:colOff>
      <xdr:row>47</xdr:row>
      <xdr:rowOff>30480</xdr:rowOff>
    </xdr:to>
    <xdr:sp macro="" textlink="">
      <xdr:nvSpPr>
        <xdr:cNvPr id="9511" name="Text Box 295"/>
        <xdr:cNvSpPr txBox="1">
          <a:spLocks noChangeArrowheads="1"/>
        </xdr:cNvSpPr>
      </xdr:nvSpPr>
      <xdr:spPr bwMode="auto">
        <a:xfrm>
          <a:off x="8183880" y="7909560"/>
          <a:ext cx="243840" cy="167640"/>
        </a:xfrm>
        <a:prstGeom prst="rect">
          <a:avLst/>
        </a:prstGeom>
        <a:noFill/>
        <a:ln w="9525">
          <a:noFill/>
          <a:miter lim="800000"/>
          <a:headEnd/>
          <a:tailEnd/>
        </a:ln>
      </xdr:spPr>
      <xdr:txBody>
        <a:bodyPr vertOverflow="clip" wrap="square" lIns="36576" tIns="27432" rIns="0" bIns="0" anchor="t" upright="1"/>
        <a:lstStyle/>
        <a:p>
          <a:pPr algn="l" rtl="0">
            <a:defRPr sz="1000"/>
          </a:pPr>
          <a:r>
            <a:rPr lang="en-CA" sz="1000" b="1" i="0" u="none" strike="noStrike" baseline="0">
              <a:solidFill>
                <a:srgbClr val="008000"/>
              </a:solidFill>
              <a:latin typeface="Arial"/>
              <a:cs typeface="Arial"/>
            </a:rPr>
            <a:t>n2</a:t>
          </a:r>
        </a:p>
      </xdr:txBody>
    </xdr:sp>
    <xdr:clientData/>
  </xdr:twoCellAnchor>
  <xdr:twoCellAnchor>
    <xdr:from>
      <xdr:col>6</xdr:col>
      <xdr:colOff>91440</xdr:colOff>
      <xdr:row>79</xdr:row>
      <xdr:rowOff>99060</xdr:rowOff>
    </xdr:from>
    <xdr:to>
      <xdr:col>6</xdr:col>
      <xdr:colOff>563880</xdr:colOff>
      <xdr:row>81</xdr:row>
      <xdr:rowOff>68580</xdr:rowOff>
    </xdr:to>
    <xdr:sp macro="" textlink="">
      <xdr:nvSpPr>
        <xdr:cNvPr id="9522" name="Line 306"/>
        <xdr:cNvSpPr>
          <a:spLocks noChangeShapeType="1"/>
        </xdr:cNvSpPr>
      </xdr:nvSpPr>
      <xdr:spPr bwMode="auto">
        <a:xfrm flipH="1">
          <a:off x="4008120" y="13616940"/>
          <a:ext cx="472440" cy="304800"/>
        </a:xfrm>
        <a:prstGeom prst="line">
          <a:avLst/>
        </a:prstGeom>
        <a:noFill/>
        <a:ln w="9525">
          <a:solidFill>
            <a:srgbClr val="000000"/>
          </a:solidFill>
          <a:round/>
          <a:headEnd type="triangle" w="med" len="med"/>
          <a:tailEnd type="triangle" w="med" len="med"/>
        </a:ln>
        <a:effectLst/>
      </xdr:spPr>
    </xdr:sp>
    <xdr:clientData/>
  </xdr:twoCellAnchor>
  <xdr:twoCellAnchor>
    <xdr:from>
      <xdr:col>6</xdr:col>
      <xdr:colOff>45720</xdr:colOff>
      <xdr:row>81</xdr:row>
      <xdr:rowOff>99060</xdr:rowOff>
    </xdr:from>
    <xdr:to>
      <xdr:col>6</xdr:col>
      <xdr:colOff>586740</xdr:colOff>
      <xdr:row>84</xdr:row>
      <xdr:rowOff>68580</xdr:rowOff>
    </xdr:to>
    <xdr:sp macro="" textlink="">
      <xdr:nvSpPr>
        <xdr:cNvPr id="9523" name="Line 307"/>
        <xdr:cNvSpPr>
          <a:spLocks noChangeShapeType="1"/>
        </xdr:cNvSpPr>
      </xdr:nvSpPr>
      <xdr:spPr bwMode="auto">
        <a:xfrm flipH="1">
          <a:off x="3962400" y="13952220"/>
          <a:ext cx="541020" cy="472440"/>
        </a:xfrm>
        <a:prstGeom prst="line">
          <a:avLst/>
        </a:prstGeom>
        <a:noFill/>
        <a:ln w="9525">
          <a:solidFill>
            <a:srgbClr val="000000"/>
          </a:solidFill>
          <a:round/>
          <a:headEnd type="triangle" w="med" len="med"/>
          <a:tailEnd type="triangle" w="med" len="med"/>
        </a:ln>
        <a:effectLst/>
      </xdr:spPr>
    </xdr:sp>
    <xdr:clientData/>
  </xdr:twoCellAnchor>
  <xdr:twoCellAnchor>
    <xdr:from>
      <xdr:col>6</xdr:col>
      <xdr:colOff>45720</xdr:colOff>
      <xdr:row>83</xdr:row>
      <xdr:rowOff>106680</xdr:rowOff>
    </xdr:from>
    <xdr:to>
      <xdr:col>6</xdr:col>
      <xdr:colOff>594360</xdr:colOff>
      <xdr:row>87</xdr:row>
      <xdr:rowOff>45720</xdr:rowOff>
    </xdr:to>
    <xdr:sp macro="" textlink="">
      <xdr:nvSpPr>
        <xdr:cNvPr id="9524" name="Line 308"/>
        <xdr:cNvSpPr>
          <a:spLocks noChangeShapeType="1"/>
        </xdr:cNvSpPr>
      </xdr:nvSpPr>
      <xdr:spPr bwMode="auto">
        <a:xfrm flipH="1">
          <a:off x="3962400" y="14295120"/>
          <a:ext cx="548640" cy="609600"/>
        </a:xfrm>
        <a:prstGeom prst="line">
          <a:avLst/>
        </a:prstGeom>
        <a:noFill/>
        <a:ln w="9525">
          <a:solidFill>
            <a:srgbClr val="000000"/>
          </a:solidFill>
          <a:round/>
          <a:headEnd type="triangle" w="med" len="med"/>
          <a:tailEnd type="triangle" w="med" len="med"/>
        </a:ln>
        <a:effectLst/>
      </xdr:spPr>
    </xdr:sp>
    <xdr:clientData/>
  </xdr:twoCellAnchor>
  <xdr:twoCellAnchor editAs="oneCell">
    <xdr:from>
      <xdr:col>0</xdr:col>
      <xdr:colOff>617220</xdr:colOff>
      <xdr:row>97</xdr:row>
      <xdr:rowOff>68580</xdr:rowOff>
    </xdr:from>
    <xdr:to>
      <xdr:col>9</xdr:col>
      <xdr:colOff>236220</xdr:colOff>
      <xdr:row>119</xdr:row>
      <xdr:rowOff>7620</xdr:rowOff>
    </xdr:to>
    <xdr:pic>
      <xdr:nvPicPr>
        <xdr:cNvPr id="9528" name="Picture 312" descr="speechzone"/>
        <xdr:cNvPicPr>
          <a:picLocks noChangeAspect="1" noChangeArrowheads="1"/>
        </xdr:cNvPicPr>
      </xdr:nvPicPr>
      <xdr:blipFill>
        <a:blip xmlns:r="http://schemas.openxmlformats.org/officeDocument/2006/relationships" r:embed="rId1" cstate="print"/>
        <a:srcRect/>
        <a:stretch>
          <a:fillRect/>
        </a:stretch>
      </xdr:blipFill>
      <xdr:spPr bwMode="auto">
        <a:xfrm>
          <a:off x="617220" y="16611600"/>
          <a:ext cx="5669280" cy="3627120"/>
        </a:xfrm>
        <a:prstGeom prst="rect">
          <a:avLst/>
        </a:prstGeom>
        <a:noFill/>
        <a:ln w="9525">
          <a:solidFill>
            <a:srgbClr val="000000"/>
          </a:solidFill>
          <a:miter lim="800000"/>
          <a:headEnd/>
          <a:tailEnd/>
        </a:ln>
      </xdr:spPr>
    </xdr:pic>
    <xdr:clientData/>
  </xdr:twoCellAnchor>
  <xdr:twoCellAnchor editAs="oneCell">
    <xdr:from>
      <xdr:col>1</xdr:col>
      <xdr:colOff>0</xdr:colOff>
      <xdr:row>123</xdr:row>
      <xdr:rowOff>76200</xdr:rowOff>
    </xdr:from>
    <xdr:to>
      <xdr:col>11</xdr:col>
      <xdr:colOff>213360</xdr:colOff>
      <xdr:row>142</xdr:row>
      <xdr:rowOff>144780</xdr:rowOff>
    </xdr:to>
    <xdr:pic>
      <xdr:nvPicPr>
        <xdr:cNvPr id="9529" name="Picture 313" descr="MusicRanges"/>
        <xdr:cNvPicPr>
          <a:picLocks noChangeAspect="1" noChangeArrowheads="1"/>
        </xdr:cNvPicPr>
      </xdr:nvPicPr>
      <xdr:blipFill>
        <a:blip xmlns:r="http://schemas.openxmlformats.org/officeDocument/2006/relationships" r:embed="rId2" cstate="print"/>
        <a:srcRect/>
        <a:stretch>
          <a:fillRect/>
        </a:stretch>
      </xdr:blipFill>
      <xdr:spPr bwMode="auto">
        <a:xfrm>
          <a:off x="624840" y="20977860"/>
          <a:ext cx="6819900" cy="3253740"/>
        </a:xfrm>
        <a:prstGeom prst="rect">
          <a:avLst/>
        </a:prstGeom>
        <a:noFill/>
        <a:ln w="952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609600</xdr:colOff>
      <xdr:row>4</xdr:row>
      <xdr:rowOff>144780</xdr:rowOff>
    </xdr:from>
    <xdr:to>
      <xdr:col>10</xdr:col>
      <xdr:colOff>723900</xdr:colOff>
      <xdr:row>13</xdr:row>
      <xdr:rowOff>167640</xdr:rowOff>
    </xdr:to>
    <xdr:pic>
      <xdr:nvPicPr>
        <xdr:cNvPr id="122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149340" y="838200"/>
          <a:ext cx="2392680" cy="17373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enableFormatConditionsCalculation="0">
    <tabColor indexed="17"/>
    <pageSetUpPr fitToPage="1"/>
  </sheetPr>
  <dimension ref="B1:R73"/>
  <sheetViews>
    <sheetView tabSelected="1" zoomScale="85" zoomScaleNormal="100" zoomScaleSheetLayoutView="100" workbookViewId="0">
      <selection activeCell="G2" sqref="G2"/>
    </sheetView>
  </sheetViews>
  <sheetFormatPr defaultColWidth="9.109375" defaultRowHeight="12.75" customHeight="1"/>
  <cols>
    <col min="1" max="1" width="3.88671875" style="11" customWidth="1"/>
    <col min="2" max="2" width="15.44140625" style="11" customWidth="1"/>
    <col min="3" max="3" width="13.6640625" style="11" customWidth="1"/>
    <col min="4" max="4" width="14.109375" style="11" customWidth="1"/>
    <col min="5" max="5" width="13.109375" style="11" customWidth="1"/>
    <col min="6" max="6" width="11.33203125" style="11" customWidth="1"/>
    <col min="7" max="8" width="11.88671875" style="11" customWidth="1"/>
    <col min="9" max="9" width="11.6640625" style="11" customWidth="1"/>
    <col min="10" max="10" width="10.5546875" style="11" customWidth="1"/>
    <col min="11" max="11" width="12.33203125" style="11" customWidth="1"/>
    <col min="12" max="12" width="9.44140625" style="11" customWidth="1"/>
    <col min="13" max="13" width="9.88671875" style="11" customWidth="1"/>
    <col min="14" max="14" width="12.33203125" style="11" customWidth="1"/>
    <col min="15" max="15" width="8.44140625" style="11" customWidth="1"/>
    <col min="16" max="16" width="3.109375" style="11" hidden="1" customWidth="1"/>
    <col min="17" max="16384" width="9.109375" style="11"/>
  </cols>
  <sheetData>
    <row r="1" spans="2:18" ht="5.25" customHeight="1" thickBot="1"/>
    <row r="2" spans="2:18" ht="31.5" customHeight="1" thickBot="1">
      <c r="B2" s="74" t="s">
        <v>46</v>
      </c>
      <c r="C2" s="75"/>
      <c r="D2" s="161" t="s">
        <v>252</v>
      </c>
      <c r="E2" s="161" t="s">
        <v>266</v>
      </c>
      <c r="F2" s="76" t="s">
        <v>47</v>
      </c>
      <c r="G2" s="220" t="s">
        <v>274</v>
      </c>
      <c r="H2" s="221"/>
      <c r="I2" s="221"/>
      <c r="J2" s="221"/>
      <c r="K2" s="221"/>
      <c r="L2" s="221"/>
      <c r="M2" s="221"/>
      <c r="N2" s="221"/>
    </row>
    <row r="3" spans="2:18" ht="14.25" customHeight="1" thickBot="1"/>
    <row r="4" spans="2:18" ht="15" customHeight="1">
      <c r="B4" s="172" t="s">
        <v>110</v>
      </c>
      <c r="C4" s="173"/>
      <c r="D4" s="173"/>
      <c r="E4" s="182" t="s">
        <v>138</v>
      </c>
      <c r="G4" s="188" t="s">
        <v>92</v>
      </c>
      <c r="H4" s="189"/>
    </row>
    <row r="5" spans="2:18" ht="16.5" customHeight="1">
      <c r="B5" s="241"/>
      <c r="C5" s="31" t="s">
        <v>38</v>
      </c>
      <c r="D5" s="31" t="s">
        <v>39</v>
      </c>
      <c r="E5" s="33" t="s">
        <v>157</v>
      </c>
      <c r="G5" s="190">
        <v>0.753</v>
      </c>
      <c r="H5" s="186" t="s">
        <v>42</v>
      </c>
      <c r="I5" s="21" t="str">
        <f>IF(E6&lt;0.25,"Err: Driver 1 not enough side space!"," ")</f>
        <v xml:space="preserve"> </v>
      </c>
    </row>
    <row r="6" spans="2:18" ht="15" customHeight="1">
      <c r="B6" s="41" t="s">
        <v>133</v>
      </c>
      <c r="C6" s="42">
        <v>0</v>
      </c>
      <c r="D6" s="42">
        <v>3.5</v>
      </c>
      <c r="E6" s="246">
        <f>IF(D6&gt;0,(($B$18-D6)/2)-C6,"")</f>
        <v>0.75</v>
      </c>
      <c r="G6" s="191" t="s">
        <v>91</v>
      </c>
      <c r="H6" s="187"/>
      <c r="I6" s="21" t="str">
        <f>IF(E7&lt;0.25,"Err: Driver 2 not enough side space!"," ")</f>
        <v xml:space="preserve"> </v>
      </c>
      <c r="P6" s="16"/>
      <c r="Q6" s="27">
        <f>+(((D13*C13*B13)/1728)*28.32)*E13</f>
        <v>0</v>
      </c>
      <c r="R6" s="27">
        <f>+Q6/28.32</f>
        <v>0</v>
      </c>
    </row>
    <row r="7" spans="2:18" ht="15" customHeight="1">
      <c r="B7" s="41" t="s">
        <v>134</v>
      </c>
      <c r="C7" s="42">
        <v>0.5</v>
      </c>
      <c r="D7" s="42">
        <v>1.125</v>
      </c>
      <c r="E7" s="295">
        <f>IF(D7&gt;0,(($B$18-D7)/2)-C7,"")</f>
        <v>1.4375</v>
      </c>
      <c r="G7" s="184">
        <f>('c'!B40+Q6+Q7)*Main!G5</f>
        <v>1.7175592663103429</v>
      </c>
      <c r="H7" s="162" t="s">
        <v>43</v>
      </c>
      <c r="I7" s="21" t="str">
        <f>IF(E8&lt;0.25,"Err: Driver 3 not enough side space!"," ")</f>
        <v xml:space="preserve"> </v>
      </c>
      <c r="P7" s="16"/>
      <c r="Q7" s="27">
        <f>+(((D14*C14*B14)/1728)*28.32)*E14</f>
        <v>0</v>
      </c>
      <c r="R7" s="27">
        <f>+Q7/28.32</f>
        <v>0</v>
      </c>
    </row>
    <row r="8" spans="2:18" ht="15" customHeight="1" thickBot="1">
      <c r="B8" s="41" t="s">
        <v>135</v>
      </c>
      <c r="C8" s="42">
        <v>0</v>
      </c>
      <c r="D8" s="42">
        <v>3.5</v>
      </c>
      <c r="E8" s="246">
        <f>IF(D8&gt;0,(($B$18-D8)/2)-C8,"")</f>
        <v>0.75</v>
      </c>
      <c r="G8" s="185">
        <f>+G7*2.2046</f>
        <v>3.7865311585077821</v>
      </c>
      <c r="H8" s="81" t="s">
        <v>50</v>
      </c>
      <c r="I8" s="211" t="str">
        <f>IF(E9&lt;0.25,"Err: Driver 4 not enough side space!"," ")</f>
        <v xml:space="preserve"> </v>
      </c>
      <c r="P8" s="15"/>
    </row>
    <row r="9" spans="2:18" ht="14.25" customHeight="1" thickBot="1">
      <c r="B9" s="177" t="s">
        <v>136</v>
      </c>
      <c r="C9" s="178"/>
      <c r="D9" s="178">
        <v>0</v>
      </c>
      <c r="E9" s="208" t="str">
        <f>IF(D9&lt;&gt;0,((D18+G13+H13)-D9)/2,"")</f>
        <v/>
      </c>
      <c r="G9" s="20"/>
      <c r="H9" s="20"/>
    </row>
    <row r="10" spans="2:18" ht="15" customHeight="1" thickBot="1">
      <c r="G10" s="20"/>
      <c r="H10" s="20"/>
      <c r="I10" s="20"/>
      <c r="J10" s="20"/>
      <c r="K10" s="20"/>
      <c r="N10" s="20"/>
      <c r="O10" s="20"/>
    </row>
    <row r="11" spans="2:18" ht="15" customHeight="1">
      <c r="B11" s="172" t="s">
        <v>94</v>
      </c>
      <c r="C11" s="173"/>
      <c r="D11" s="173"/>
      <c r="E11" s="212"/>
      <c r="F11" s="489"/>
      <c r="G11" s="66" t="s">
        <v>93</v>
      </c>
      <c r="H11" s="40"/>
      <c r="I11" s="209"/>
      <c r="J11" s="210"/>
      <c r="K11" s="275" t="str">
        <f>IF(((D6/2)+G18)&gt;C18,"Err: Driver 1 too high!"," ")</f>
        <v xml:space="preserve"> </v>
      </c>
      <c r="M11" s="25"/>
      <c r="O11" s="20"/>
    </row>
    <row r="12" spans="2:18" ht="15.75" customHeight="1">
      <c r="B12" s="32" t="s">
        <v>33</v>
      </c>
      <c r="C12" s="31" t="s">
        <v>56</v>
      </c>
      <c r="D12" s="31" t="s">
        <v>35</v>
      </c>
      <c r="E12" s="33" t="s">
        <v>69</v>
      </c>
      <c r="F12" s="489"/>
      <c r="G12" s="32" t="s">
        <v>22</v>
      </c>
      <c r="H12" s="31" t="s">
        <v>36</v>
      </c>
      <c r="I12" s="31" t="s">
        <v>74</v>
      </c>
      <c r="J12" s="33" t="s">
        <v>37</v>
      </c>
      <c r="K12" s="275" t="str">
        <f>IF(K19&lt;0.13,"Err:  Driver 1-2 too close?"," ")</f>
        <v xml:space="preserve"> </v>
      </c>
      <c r="O12" s="20"/>
    </row>
    <row r="13" spans="2:18" ht="17.100000000000001" customHeight="1" thickBot="1">
      <c r="B13" s="247">
        <f>+B18-J13-J13</f>
        <v>4</v>
      </c>
      <c r="C13" s="158">
        <f>+C18-I13-I13</f>
        <v>9</v>
      </c>
      <c r="D13" s="36">
        <f>+J13</f>
        <v>0.5</v>
      </c>
      <c r="E13" s="37">
        <v>0</v>
      </c>
      <c r="F13" s="490" t="s">
        <v>62</v>
      </c>
      <c r="G13" s="217">
        <v>0.5</v>
      </c>
      <c r="H13" s="218">
        <v>0.5</v>
      </c>
      <c r="I13" s="218">
        <v>0.5</v>
      </c>
      <c r="J13" s="219">
        <v>0.5</v>
      </c>
      <c r="K13" s="275" t="str">
        <f>IF(K20&lt;0.128,"Err: Drivers 2-3 too close?"," ")</f>
        <v xml:space="preserve"> </v>
      </c>
      <c r="O13" s="20"/>
    </row>
    <row r="14" spans="2:18" ht="17.100000000000001" customHeight="1" thickBot="1">
      <c r="B14" s="248">
        <f>+B13</f>
        <v>4</v>
      </c>
      <c r="C14" s="159">
        <f>+D18-G13-H13</f>
        <v>6.75</v>
      </c>
      <c r="D14" s="38">
        <f>+J13</f>
        <v>0.5</v>
      </c>
      <c r="E14" s="39">
        <v>0</v>
      </c>
      <c r="F14" s="490" t="s">
        <v>63</v>
      </c>
      <c r="K14" s="276"/>
      <c r="L14" s="175"/>
      <c r="O14" s="20"/>
    </row>
    <row r="15" spans="2:18" ht="16.5" customHeight="1" thickBot="1">
      <c r="D15" s="23" t="str">
        <f>IF(E14*E13&lt;&gt;0,"Err: one brace Qty must be 0"," ")</f>
        <v xml:space="preserve"> </v>
      </c>
      <c r="F15" s="88"/>
    </row>
    <row r="16" spans="2:18" ht="15" customHeight="1">
      <c r="B16" s="492" t="s">
        <v>95</v>
      </c>
      <c r="C16" s="493"/>
      <c r="D16" s="494"/>
      <c r="E16" s="206" t="s">
        <v>145</v>
      </c>
      <c r="F16" s="88"/>
      <c r="G16" s="242" t="s">
        <v>143</v>
      </c>
      <c r="H16" s="243"/>
      <c r="I16" s="243"/>
      <c r="J16" s="243"/>
      <c r="K16" s="215" t="s">
        <v>138</v>
      </c>
      <c r="L16" s="215" t="s">
        <v>139</v>
      </c>
      <c r="M16" s="215" t="s">
        <v>193</v>
      </c>
      <c r="N16" s="216" t="s">
        <v>224</v>
      </c>
    </row>
    <row r="17" spans="2:15" ht="15" customHeight="1">
      <c r="B17" s="32" t="s">
        <v>33</v>
      </c>
      <c r="C17" s="31" t="s">
        <v>34</v>
      </c>
      <c r="D17" s="33" t="s">
        <v>35</v>
      </c>
      <c r="E17" s="207" t="s">
        <v>144</v>
      </c>
      <c r="F17" s="491"/>
      <c r="G17" s="32" t="s">
        <v>154</v>
      </c>
      <c r="H17" s="31" t="s">
        <v>153</v>
      </c>
      <c r="I17" s="261"/>
      <c r="J17" s="272" t="s">
        <v>158</v>
      </c>
      <c r="K17" s="213" t="s">
        <v>137</v>
      </c>
      <c r="L17" s="213" t="s">
        <v>141</v>
      </c>
      <c r="M17" s="213" t="s">
        <v>194</v>
      </c>
      <c r="N17" s="214" t="s">
        <v>225</v>
      </c>
    </row>
    <row r="18" spans="2:15" ht="15" customHeight="1">
      <c r="B18" s="203">
        <f>B19/8</f>
        <v>5</v>
      </c>
      <c r="C18" s="204">
        <f>C19/8</f>
        <v>10</v>
      </c>
      <c r="D18" s="205">
        <f>D19/8</f>
        <v>7.75</v>
      </c>
      <c r="E18" s="198">
        <f>'c'!A18-Q6-Q7</f>
        <v>3.982056552</v>
      </c>
      <c r="F18" s="490" t="s">
        <v>30</v>
      </c>
      <c r="G18" s="34">
        <f>IF(D6&gt;0,I18/8,"")</f>
        <v>7.5</v>
      </c>
      <c r="H18" s="259">
        <f>IF(D6&gt;0,C18-G18,"")</f>
        <v>2.5</v>
      </c>
      <c r="I18" s="64">
        <v>60</v>
      </c>
      <c r="J18" s="271">
        <v>1</v>
      </c>
      <c r="K18" s="176">
        <f>IF(D6&gt;0,C18-((D6/2)+G18),"")</f>
        <v>0.75</v>
      </c>
      <c r="L18" s="192"/>
    </row>
    <row r="19" spans="2:15" ht="15" customHeight="1" thickBot="1">
      <c r="B19" s="201">
        <v>40</v>
      </c>
      <c r="C19" s="174">
        <v>80</v>
      </c>
      <c r="D19" s="202">
        <v>62</v>
      </c>
      <c r="E19" s="199">
        <f>'c'!A17-R6-R7-P8</f>
        <v>0.140625</v>
      </c>
      <c r="F19" s="490" t="s">
        <v>20</v>
      </c>
      <c r="G19" s="34">
        <f>IF(D7&gt;0,I19/8,"")</f>
        <v>5</v>
      </c>
      <c r="H19" s="259">
        <f>IF(D7&gt;0,C18-G19,"")</f>
        <v>5</v>
      </c>
      <c r="I19" s="65">
        <v>40</v>
      </c>
      <c r="J19" s="271">
        <v>2</v>
      </c>
      <c r="K19" s="176">
        <f>IF(D7*D6&gt;0,SQRT((G19-G18)^2+(C7-C6)^2)-(D7+D6)/2,"")</f>
        <v>0.23700975679639225</v>
      </c>
      <c r="L19" s="168">
        <f>IF(D7*D6&gt;0,1130*12/(SQRT((G19-G18)^2+(C7-C6)^2)),"")</f>
        <v>5318.6695849475509</v>
      </c>
      <c r="M19" s="364" t="s">
        <v>55</v>
      </c>
      <c r="N19" s="170" t="s">
        <v>58</v>
      </c>
      <c r="O19" s="388" t="s">
        <v>267</v>
      </c>
    </row>
    <row r="20" spans="2:15" ht="15" customHeight="1" thickBot="1">
      <c r="B20" s="195" t="s">
        <v>66</v>
      </c>
      <c r="C20" s="194">
        <f>+B18*2.6</f>
        <v>13</v>
      </c>
      <c r="D20" s="193">
        <f>+B18*1.6</f>
        <v>8</v>
      </c>
      <c r="F20" s="88"/>
      <c r="G20" s="34">
        <f>IF(D8&gt;0,I20/8,"")</f>
        <v>2.5</v>
      </c>
      <c r="H20" s="262">
        <f>IF(D8&gt;0,C18-G20,"")</f>
        <v>7.5</v>
      </c>
      <c r="I20" s="65">
        <v>20</v>
      </c>
      <c r="J20" s="271">
        <v>3</v>
      </c>
      <c r="K20" s="176">
        <f>IF(D8*D7&gt;0,SQRT((G19-G20)^2+(C7-C8)^2)-(D7+D8)/2,"")</f>
        <v>0.23700975679639225</v>
      </c>
      <c r="L20" s="168">
        <f>IF(D8*D7&gt;0,1130*12/(SQRT((G20-G19)^2+(C8-C7)^2)),"")</f>
        <v>5318.6695849475509</v>
      </c>
      <c r="M20" s="168">
        <f>+'c'!D160</f>
        <v>12379.929489891874</v>
      </c>
      <c r="N20" s="487">
        <v>96</v>
      </c>
      <c r="O20" s="486">
        <f>+N20/12</f>
        <v>8</v>
      </c>
    </row>
    <row r="21" spans="2:15" ht="15" customHeight="1" thickBot="1">
      <c r="B21" s="183" t="s">
        <v>142</v>
      </c>
      <c r="C21" s="200">
        <f>(SoS)/((B18/2)/12)</f>
        <v>5424</v>
      </c>
      <c r="D21" s="274"/>
      <c r="F21" s="88"/>
      <c r="G21" s="35" t="str">
        <f>IF(D9&gt;0,I21/8,"")</f>
        <v/>
      </c>
      <c r="H21" s="260"/>
      <c r="I21" s="179">
        <v>33</v>
      </c>
      <c r="J21" s="273">
        <v>4</v>
      </c>
      <c r="K21" s="180"/>
      <c r="L21" s="181">
        <f>IF(D8*D6&gt;0,1130*12/(SQRT((G20-G18)^2+(C8-C6)^2)),"")</f>
        <v>2712</v>
      </c>
    </row>
    <row r="22" spans="2:15" ht="10.5" customHeight="1"/>
    <row r="23" spans="2:15" ht="10.5" customHeight="1"/>
    <row r="24" spans="2:15" ht="10.5" customHeight="1"/>
    <row r="25" spans="2:15" ht="10.5" customHeight="1"/>
    <row r="31" spans="2:15" ht="12.75" customHeight="1">
      <c r="N31" s="13"/>
    </row>
    <row r="32" spans="2:15" ht="12.75" customHeight="1">
      <c r="G32" s="12"/>
    </row>
    <row r="34" spans="7:7" ht="12.75" customHeight="1">
      <c r="G34" s="14"/>
    </row>
    <row r="49" spans="2:15" ht="12.75" customHeight="1">
      <c r="D49" s="20"/>
      <c r="E49" s="20"/>
      <c r="F49" s="20"/>
      <c r="G49" s="20"/>
    </row>
    <row r="50" spans="2:15" ht="12.75" customHeight="1">
      <c r="B50" s="20"/>
      <c r="C50" s="20"/>
      <c r="D50" s="26">
        <v>6</v>
      </c>
      <c r="E50" s="22"/>
      <c r="F50" s="22"/>
      <c r="G50" s="20"/>
      <c r="H50" s="20"/>
      <c r="I50" s="20"/>
      <c r="J50" s="20"/>
      <c r="K50" s="20"/>
      <c r="L50" s="20"/>
      <c r="M50" s="20"/>
      <c r="N50" s="20"/>
      <c r="O50" s="20"/>
    </row>
    <row r="51" spans="2:15" ht="42" customHeight="1" thickBot="1">
      <c r="B51" s="20"/>
      <c r="C51" s="20"/>
      <c r="D51" s="20"/>
      <c r="E51" s="20"/>
      <c r="J51" s="20"/>
      <c r="K51" s="20"/>
      <c r="L51" s="20"/>
      <c r="M51" s="20"/>
      <c r="N51" s="20"/>
      <c r="O51" s="20"/>
    </row>
    <row r="52" spans="2:15" ht="21" customHeight="1" thickBot="1">
      <c r="B52" s="43" t="s">
        <v>68</v>
      </c>
      <c r="C52" s="44"/>
      <c r="D52" s="61" t="s">
        <v>70</v>
      </c>
      <c r="E52" s="154">
        <v>2</v>
      </c>
      <c r="F52" s="62" t="s">
        <v>71</v>
      </c>
      <c r="G52" s="63"/>
      <c r="H52" s="20"/>
      <c r="I52" s="77" t="s">
        <v>72</v>
      </c>
      <c r="J52" s="20"/>
      <c r="K52" s="20"/>
      <c r="L52" s="20"/>
      <c r="M52" s="479" t="s">
        <v>265</v>
      </c>
      <c r="O52" s="20"/>
    </row>
    <row r="53" spans="2:15" ht="21" customHeight="1">
      <c r="B53" s="244"/>
      <c r="C53" s="245"/>
      <c r="D53" s="45" t="s">
        <v>33</v>
      </c>
      <c r="E53" s="45" t="s">
        <v>34</v>
      </c>
      <c r="F53" s="45" t="s">
        <v>45</v>
      </c>
      <c r="G53" s="46" t="s">
        <v>59</v>
      </c>
      <c r="H53" s="20"/>
      <c r="I53" s="78" t="s">
        <v>75</v>
      </c>
      <c r="J53" s="156" t="s">
        <v>73</v>
      </c>
      <c r="K53" s="155" t="s">
        <v>155</v>
      </c>
      <c r="L53" s="20"/>
      <c r="M53" s="480"/>
      <c r="N53" s="483"/>
    </row>
    <row r="54" spans="2:15" ht="24.9" customHeight="1">
      <c r="B54" s="79" t="s">
        <v>61</v>
      </c>
      <c r="C54" s="80"/>
      <c r="D54" s="47">
        <f>'c'!B21</f>
        <v>5</v>
      </c>
      <c r="E54" s="47">
        <f>'c'!A21</f>
        <v>10</v>
      </c>
      <c r="F54" s="171">
        <f>IF(ft&lt;&gt;G13,"front/rear not same!",ft)</f>
        <v>0.5</v>
      </c>
      <c r="G54" s="49">
        <f>+E52*2</f>
        <v>4</v>
      </c>
      <c r="H54" s="20"/>
      <c r="I54" s="67">
        <f>IF(D54&lt;E54,G54*D54,G54*E54)</f>
        <v>20</v>
      </c>
      <c r="J54" s="158">
        <f>IF(D54&lt;E54,E54,D54)</f>
        <v>10</v>
      </c>
      <c r="K54" s="157">
        <f>+(G54-1)*0.125</f>
        <v>0.375</v>
      </c>
      <c r="L54" s="167" t="str">
        <f>IF(G13&lt;&gt;H13,"Hand Calc Baffles!","")</f>
        <v/>
      </c>
      <c r="M54" s="481"/>
      <c r="N54" s="484"/>
    </row>
    <row r="55" spans="2:15" ht="24.9" customHeight="1">
      <c r="B55" s="79" t="s">
        <v>44</v>
      </c>
      <c r="C55" s="80"/>
      <c r="D55" s="47">
        <f>+'c'!B37</f>
        <v>6.75</v>
      </c>
      <c r="E55" s="47">
        <f>+'c'!A37</f>
        <v>10</v>
      </c>
      <c r="F55" s="48">
        <f>bt</f>
        <v>0.5</v>
      </c>
      <c r="G55" s="50">
        <f>+G54</f>
        <v>4</v>
      </c>
      <c r="H55" s="20"/>
      <c r="I55" s="67">
        <f>IF(D55&lt;E55,G55*D55,G55*E55)</f>
        <v>27</v>
      </c>
      <c r="J55" s="158">
        <f>IF(D55&lt;E55,E55,D55)</f>
        <v>10</v>
      </c>
      <c r="K55" s="157">
        <f>+(G55-1)*0.125</f>
        <v>0.375</v>
      </c>
      <c r="L55" s="20"/>
      <c r="M55" s="481"/>
      <c r="N55" s="484"/>
    </row>
    <row r="56" spans="2:15" ht="24.9" customHeight="1">
      <c r="B56" s="79" t="s">
        <v>60</v>
      </c>
      <c r="C56" s="80"/>
      <c r="D56" s="47">
        <f>'c'!A29</f>
        <v>6.75</v>
      </c>
      <c r="E56" s="47">
        <f>'c'!B29</f>
        <v>4</v>
      </c>
      <c r="F56" s="48">
        <f>tt</f>
        <v>0.5</v>
      </c>
      <c r="G56" s="50">
        <f>+G54</f>
        <v>4</v>
      </c>
      <c r="H56" s="20"/>
      <c r="I56" s="67">
        <f>IF(D56&lt;E56,G56*D56,G56*E56)</f>
        <v>16</v>
      </c>
      <c r="J56" s="158">
        <f>IF(D56&lt;E56,E56,D56)</f>
        <v>6.75</v>
      </c>
      <c r="K56" s="157">
        <f>+(G56-1)*0.125</f>
        <v>0.375</v>
      </c>
      <c r="L56" s="20"/>
      <c r="M56" s="481"/>
      <c r="N56" s="484"/>
    </row>
    <row r="57" spans="2:15" ht="24.9" customHeight="1" thickBot="1">
      <c r="B57" s="79" t="s">
        <v>49</v>
      </c>
      <c r="C57" s="80"/>
      <c r="D57" s="47">
        <f>IF(E14=0,C13,C14)</f>
        <v>9</v>
      </c>
      <c r="E57" s="47">
        <f>IF(E14=0,B13,B14)</f>
        <v>4</v>
      </c>
      <c r="F57" s="51">
        <f>IF(E14=0,D13,D14)</f>
        <v>0.5</v>
      </c>
      <c r="G57" s="52">
        <f>+(E13+E14)*2</f>
        <v>0</v>
      </c>
      <c r="H57" s="20"/>
      <c r="I57" s="68">
        <f>IF(D57&lt;E57,G57*D57,G57*E57)</f>
        <v>0</v>
      </c>
      <c r="J57" s="159">
        <f>IF(D57&lt;E57,E57,D57)</f>
        <v>9</v>
      </c>
      <c r="K57" s="160">
        <f>+(G57-1)*0.125</f>
        <v>-0.125</v>
      </c>
      <c r="L57" s="20"/>
      <c r="M57" s="481"/>
      <c r="N57" s="484"/>
    </row>
    <row r="58" spans="2:15" ht="14.25" customHeight="1">
      <c r="B58" s="53"/>
      <c r="C58" s="54"/>
      <c r="D58" s="55"/>
      <c r="E58" s="55"/>
      <c r="F58" s="55"/>
      <c r="G58" s="56"/>
      <c r="H58" s="20"/>
      <c r="I58" s="70"/>
      <c r="J58" s="19"/>
      <c r="K58" s="20"/>
      <c r="L58" s="20"/>
      <c r="M58" s="481"/>
      <c r="N58" s="484"/>
    </row>
    <row r="59" spans="2:15" ht="18" customHeight="1" thickBot="1">
      <c r="B59" s="57"/>
      <c r="C59" s="72" t="s">
        <v>48</v>
      </c>
      <c r="D59" s="58">
        <f>+((((D54*E54)+(D56*E56)+(D55*E55))*G54)+(E57*D57*G57))/144</f>
        <v>4.0138888888888893</v>
      </c>
      <c r="E59" s="71" t="s">
        <v>64</v>
      </c>
      <c r="F59" s="59"/>
      <c r="G59" s="60"/>
      <c r="H59" s="293" t="s">
        <v>167</v>
      </c>
      <c r="J59" s="20"/>
      <c r="K59" s="20"/>
      <c r="L59" s="20"/>
      <c r="M59" s="482"/>
      <c r="N59" s="485"/>
    </row>
    <row r="60" spans="2:15" ht="33" customHeight="1" thickBot="1">
      <c r="B60" s="20"/>
      <c r="C60" s="20"/>
      <c r="D60" s="20"/>
      <c r="E60" s="294"/>
      <c r="F60" s="20"/>
      <c r="G60" s="20"/>
      <c r="H60" s="20"/>
      <c r="I60" s="20"/>
      <c r="J60" s="19"/>
      <c r="K60" s="20"/>
      <c r="L60" s="20"/>
      <c r="M60" s="20"/>
      <c r="O60" s="20"/>
    </row>
    <row r="61" spans="2:15" ht="24" customHeight="1" thickBot="1">
      <c r="B61" s="73" t="s">
        <v>273</v>
      </c>
      <c r="C61" s="69"/>
      <c r="D61" s="163">
        <f>+D54/2</f>
        <v>2.5</v>
      </c>
      <c r="F61" s="19"/>
      <c r="G61" s="495" t="s">
        <v>160</v>
      </c>
      <c r="H61" s="496"/>
      <c r="I61" s="496"/>
      <c r="J61" s="496"/>
      <c r="K61" s="496"/>
      <c r="L61" s="496"/>
      <c r="M61" s="496"/>
      <c r="O61" s="20"/>
    </row>
    <row r="62" spans="2:15" ht="22.5" customHeight="1" thickBot="1">
      <c r="B62" s="20"/>
      <c r="C62" s="20"/>
      <c r="D62" s="270" t="s">
        <v>271</v>
      </c>
      <c r="E62" s="170" t="s">
        <v>272</v>
      </c>
      <c r="F62" s="170" t="s">
        <v>38</v>
      </c>
      <c r="G62" s="496"/>
      <c r="H62" s="496"/>
      <c r="I62" s="496"/>
      <c r="J62" s="496"/>
      <c r="K62" s="496"/>
      <c r="L62" s="496"/>
      <c r="M62" s="496"/>
      <c r="O62" s="20"/>
    </row>
    <row r="63" spans="2:15" ht="24" customHeight="1">
      <c r="B63" s="264" t="s">
        <v>268</v>
      </c>
      <c r="C63" s="267"/>
      <c r="D63" s="250">
        <f>+H18</f>
        <v>2.5</v>
      </c>
      <c r="E63" s="256">
        <f>+G18</f>
        <v>7.5</v>
      </c>
      <c r="F63" s="169" t="str">
        <f>IF(C6&lt;&gt;0,+C6,"")</f>
        <v/>
      </c>
      <c r="G63" s="263"/>
      <c r="H63" s="263"/>
      <c r="I63" s="263"/>
      <c r="J63" s="263"/>
      <c r="K63" s="263"/>
      <c r="L63" s="263"/>
      <c r="M63" s="263"/>
      <c r="O63" s="20"/>
    </row>
    <row r="64" spans="2:15" ht="25.5" customHeight="1" thickBot="1">
      <c r="B64" s="265" t="s">
        <v>269</v>
      </c>
      <c r="C64" s="268"/>
      <c r="D64" s="251">
        <f>+H19</f>
        <v>5</v>
      </c>
      <c r="E64" s="257">
        <f>+G19</f>
        <v>5</v>
      </c>
      <c r="F64" s="169">
        <f>IF(C7&lt;&gt;0,+C7,"")</f>
        <v>0.5</v>
      </c>
      <c r="G64" s="263"/>
      <c r="J64" s="32" t="s">
        <v>33</v>
      </c>
      <c r="K64" s="31" t="s">
        <v>34</v>
      </c>
      <c r="L64" s="33" t="s">
        <v>35</v>
      </c>
      <c r="M64" s="263"/>
      <c r="O64" s="20"/>
    </row>
    <row r="65" spans="2:15" ht="25.5" customHeight="1" thickBot="1">
      <c r="B65" s="266" t="s">
        <v>270</v>
      </c>
      <c r="C65" s="269"/>
      <c r="D65" s="252">
        <f>+H20</f>
        <v>7.5</v>
      </c>
      <c r="E65" s="258">
        <f>+G20</f>
        <v>2.5</v>
      </c>
      <c r="F65" s="169" t="str">
        <f>IF(C8&lt;&gt;0,+C8,"")</f>
        <v/>
      </c>
      <c r="H65" s="73" t="s">
        <v>140</v>
      </c>
      <c r="I65" s="197"/>
      <c r="J65" s="159">
        <f>+B18-J13-J13</f>
        <v>4</v>
      </c>
      <c r="K65" s="159">
        <f>+C18-I13-I13</f>
        <v>9</v>
      </c>
      <c r="L65" s="196">
        <f>+D18-H13-G13</f>
        <v>6.75</v>
      </c>
      <c r="O65" s="20"/>
    </row>
    <row r="66" spans="2:15" ht="19.5" customHeight="1">
      <c r="B66" s="20"/>
      <c r="C66" s="20"/>
      <c r="D66" s="20"/>
      <c r="E66" s="19"/>
      <c r="F66" s="19"/>
      <c r="O66" s="20"/>
    </row>
    <row r="67" spans="2:15" ht="20.100000000000001" customHeight="1">
      <c r="C67" s="20"/>
      <c r="O67" s="20"/>
    </row>
    <row r="68" spans="2:15" ht="20.100000000000001" customHeight="1">
      <c r="B68" s="253"/>
      <c r="C68" s="253"/>
      <c r="D68" s="254"/>
      <c r="E68" s="255"/>
      <c r="L68" s="20"/>
      <c r="M68" s="20"/>
      <c r="N68" s="20"/>
      <c r="O68" s="20"/>
    </row>
    <row r="69" spans="2:15" ht="20.100000000000001" customHeight="1">
      <c r="B69" s="253"/>
      <c r="C69" s="253"/>
      <c r="D69" s="254"/>
      <c r="E69" s="255"/>
      <c r="F69" s="19"/>
      <c r="G69" s="19"/>
      <c r="H69" s="19"/>
      <c r="I69" s="19"/>
      <c r="J69" s="20"/>
      <c r="K69" s="20"/>
      <c r="L69" s="20"/>
      <c r="M69" s="20"/>
      <c r="N69" s="20"/>
      <c r="O69" s="20"/>
    </row>
    <row r="70" spans="2:15" ht="20.100000000000001" customHeight="1">
      <c r="B70" s="253"/>
      <c r="C70" s="253"/>
      <c r="D70" s="254"/>
      <c r="E70" s="255"/>
      <c r="F70" s="20"/>
      <c r="G70" s="20"/>
      <c r="H70" s="20"/>
      <c r="I70" s="20"/>
      <c r="J70" s="20"/>
      <c r="K70" s="20"/>
      <c r="L70" s="20"/>
      <c r="M70" s="20"/>
      <c r="N70" s="20"/>
      <c r="O70" s="20"/>
    </row>
    <row r="71" spans="2:15" ht="12.75" customHeight="1">
      <c r="B71" s="255"/>
      <c r="C71" s="255"/>
      <c r="D71" s="255"/>
      <c r="E71" s="255"/>
      <c r="F71" s="20"/>
      <c r="G71" s="20"/>
      <c r="H71" s="20"/>
      <c r="I71" s="20"/>
      <c r="J71" s="20"/>
      <c r="K71" s="20"/>
      <c r="L71" s="20"/>
      <c r="M71" s="20"/>
      <c r="N71" s="20"/>
      <c r="O71" s="20"/>
    </row>
    <row r="72" spans="2:15" ht="12.75" customHeight="1">
      <c r="B72" s="20"/>
      <c r="C72" s="20"/>
      <c r="D72" s="20"/>
      <c r="E72" s="20"/>
      <c r="F72" s="20"/>
      <c r="G72" s="20"/>
      <c r="H72" s="20"/>
      <c r="I72" s="20"/>
      <c r="J72" s="20"/>
      <c r="K72" s="20"/>
      <c r="L72" s="20"/>
      <c r="M72" s="20"/>
      <c r="N72" s="20"/>
      <c r="O72" s="20"/>
    </row>
    <row r="73" spans="2:15" ht="12.75" customHeight="1">
      <c r="B73" s="20"/>
      <c r="C73" s="20"/>
      <c r="D73" s="20"/>
      <c r="E73" s="20"/>
      <c r="F73" s="20"/>
      <c r="G73" s="20"/>
      <c r="H73" s="20"/>
      <c r="I73" s="20"/>
      <c r="J73" s="20"/>
      <c r="K73" s="20"/>
      <c r="L73" s="20"/>
      <c r="M73" s="20"/>
      <c r="N73" s="20"/>
      <c r="O73" s="20"/>
    </row>
  </sheetData>
  <sheetProtection sheet="1" objects="1" scenarios="1"/>
  <mergeCells count="2">
    <mergeCell ref="B16:D16"/>
    <mergeCell ref="G61:M62"/>
  </mergeCells>
  <phoneticPr fontId="0" type="noConversion"/>
  <printOptions horizontalCentered="1"/>
  <pageMargins left="0.39" right="0.3" top="0.48" bottom="0.34" header="0.48" footer="0.34"/>
  <pageSetup scale="64"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enableFormatConditionsCalculation="0">
    <tabColor indexed="16"/>
    <pageSetUpPr fitToPage="1"/>
  </sheetPr>
  <dimension ref="A1:U215"/>
  <sheetViews>
    <sheetView workbookViewId="0">
      <selection activeCell="K1" sqref="K1"/>
    </sheetView>
  </sheetViews>
  <sheetFormatPr defaultColWidth="9.109375" defaultRowHeight="13.2"/>
  <cols>
    <col min="1" max="1" width="9.109375" style="88"/>
    <col min="2" max="2" width="9.109375" style="89"/>
    <col min="3" max="3" width="9.33203125" style="89" bestFit="1" customWidth="1"/>
    <col min="4" max="4" width="10" style="89" customWidth="1"/>
    <col min="5" max="5" width="9.44140625" style="89" bestFit="1" customWidth="1"/>
    <col min="6" max="6" width="10.109375" style="89" customWidth="1"/>
    <col min="7" max="7" width="9.109375" style="89"/>
    <col min="8" max="9" width="11" style="89" bestFit="1" customWidth="1"/>
    <col min="10" max="10" width="9.109375" style="89"/>
    <col min="11" max="11" width="8.109375" style="89" customWidth="1"/>
    <col min="12" max="12" width="11" style="89" customWidth="1"/>
    <col min="13" max="16384" width="9.109375" style="89"/>
  </cols>
  <sheetData>
    <row r="1" spans="1:21">
      <c r="A1" s="106"/>
      <c r="B1" s="106"/>
      <c r="C1" s="361"/>
      <c r="D1" s="314"/>
      <c r="E1" s="88"/>
      <c r="F1" s="88"/>
      <c r="G1" s="315"/>
      <c r="H1" s="316"/>
      <c r="I1" s="316"/>
      <c r="J1" s="316"/>
      <c r="K1" s="316"/>
      <c r="L1" s="316"/>
      <c r="M1" s="316"/>
      <c r="N1" s="317"/>
      <c r="O1" s="88"/>
      <c r="P1" s="88"/>
      <c r="Q1" s="88"/>
      <c r="R1" s="88"/>
      <c r="S1" s="88"/>
      <c r="T1" s="88"/>
      <c r="U1" s="88"/>
    </row>
    <row r="2" spans="1:21" ht="13.8" thickBot="1">
      <c r="B2" s="88"/>
      <c r="C2" s="88"/>
      <c r="D2" s="88"/>
      <c r="E2" s="88"/>
      <c r="F2" s="88"/>
      <c r="G2" s="318"/>
      <c r="H2" s="106"/>
      <c r="I2" s="106"/>
      <c r="J2" s="106"/>
      <c r="K2" s="106"/>
      <c r="L2" s="106"/>
      <c r="M2" s="106"/>
      <c r="N2" s="319"/>
      <c r="O2" s="88"/>
      <c r="P2" s="88"/>
      <c r="Q2" s="88"/>
      <c r="R2" s="88"/>
      <c r="S2" s="88"/>
      <c r="T2" s="88"/>
      <c r="U2" s="88"/>
    </row>
    <row r="3" spans="1:21" ht="13.8" thickBot="1">
      <c r="A3" s="90" t="s">
        <v>114</v>
      </c>
      <c r="B3" s="91"/>
      <c r="C3" s="88"/>
      <c r="D3" s="90" t="s">
        <v>113</v>
      </c>
      <c r="E3" s="91"/>
      <c r="F3" s="88"/>
      <c r="G3" s="318"/>
      <c r="H3" s="106"/>
      <c r="I3" s="106"/>
      <c r="J3" s="106"/>
      <c r="K3" s="106"/>
      <c r="L3" s="106"/>
      <c r="M3" s="106"/>
      <c r="N3" s="319"/>
      <c r="O3" s="88"/>
      <c r="P3" s="88"/>
      <c r="Q3" s="88"/>
      <c r="R3" s="88"/>
      <c r="S3" s="88"/>
      <c r="T3" s="88"/>
      <c r="U3" s="88"/>
    </row>
    <row r="4" spans="1:21">
      <c r="A4" s="93" t="s">
        <v>51</v>
      </c>
      <c r="B4" s="94" t="s">
        <v>52</v>
      </c>
      <c r="C4" s="95"/>
      <c r="D4" s="93" t="s">
        <v>67</v>
      </c>
      <c r="E4" s="94" t="s">
        <v>96</v>
      </c>
      <c r="F4" s="88"/>
      <c r="G4" s="318"/>
      <c r="H4" s="90" t="s">
        <v>112</v>
      </c>
      <c r="I4" s="92"/>
      <c r="J4" s="92"/>
      <c r="K4" s="92"/>
      <c r="L4" s="92"/>
      <c r="M4" s="91"/>
      <c r="N4" s="319"/>
      <c r="O4" s="88"/>
      <c r="P4" s="88"/>
      <c r="Q4" s="88"/>
      <c r="R4" s="88"/>
      <c r="S4" s="88"/>
      <c r="T4" s="88"/>
      <c r="U4" s="88"/>
    </row>
    <row r="5" spans="1:21" ht="13.8" thickBot="1">
      <c r="A5" s="85">
        <v>1</v>
      </c>
      <c r="B5" s="100">
        <f>+A5*28.32</f>
        <v>28.32</v>
      </c>
      <c r="C5" s="88"/>
      <c r="D5" s="87">
        <v>2.54</v>
      </c>
      <c r="E5" s="331">
        <f>+D5/2.54</f>
        <v>1</v>
      </c>
      <c r="F5" s="88"/>
      <c r="G5" s="318"/>
      <c r="H5" s="96" t="s">
        <v>76</v>
      </c>
      <c r="I5" s="97"/>
      <c r="J5" s="97"/>
      <c r="K5" s="98" t="s">
        <v>86</v>
      </c>
      <c r="L5" s="97" t="s">
        <v>84</v>
      </c>
      <c r="M5" s="99" t="s">
        <v>85</v>
      </c>
      <c r="N5" s="319"/>
      <c r="O5" s="88"/>
      <c r="P5" s="88"/>
      <c r="Q5" s="88"/>
      <c r="R5" s="88"/>
      <c r="S5" s="88"/>
      <c r="T5" s="88"/>
      <c r="U5" s="88"/>
    </row>
    <row r="6" spans="1:21" ht="13.8" thickBot="1">
      <c r="B6" s="88"/>
      <c r="C6" s="88"/>
      <c r="D6" s="88"/>
      <c r="E6" s="88"/>
      <c r="F6" s="88"/>
      <c r="G6" s="318"/>
      <c r="H6" s="101" t="s">
        <v>78</v>
      </c>
      <c r="I6" s="102"/>
      <c r="J6" s="103"/>
      <c r="K6" s="24">
        <v>2</v>
      </c>
      <c r="L6" s="24">
        <v>1</v>
      </c>
      <c r="M6" s="104">
        <f>+L6+K6</f>
        <v>3</v>
      </c>
      <c r="N6" s="328" t="s">
        <v>87</v>
      </c>
      <c r="O6" s="88"/>
      <c r="P6" s="88"/>
      <c r="Q6" s="88"/>
      <c r="R6" s="88"/>
      <c r="S6" s="88"/>
      <c r="T6" s="88"/>
      <c r="U6" s="88"/>
    </row>
    <row r="7" spans="1:21" ht="13.8" thickBot="1">
      <c r="A7" s="109">
        <f>+B7/28.32</f>
        <v>1</v>
      </c>
      <c r="B7" s="86">
        <v>28.32</v>
      </c>
      <c r="C7" s="88"/>
      <c r="D7" s="292">
        <f>+E7*2.54</f>
        <v>2.54</v>
      </c>
      <c r="E7" s="291">
        <v>1</v>
      </c>
      <c r="F7" s="88"/>
      <c r="G7" s="318"/>
      <c r="H7" s="105"/>
      <c r="I7" s="106"/>
      <c r="J7" s="106"/>
      <c r="K7" s="107"/>
      <c r="L7" s="107"/>
      <c r="M7" s="108"/>
      <c r="N7" s="328"/>
      <c r="O7" s="88"/>
      <c r="P7" s="88"/>
      <c r="Q7" s="88"/>
      <c r="R7" s="88"/>
      <c r="S7" s="88"/>
      <c r="T7" s="88"/>
      <c r="U7" s="88"/>
    </row>
    <row r="8" spans="1:21">
      <c r="A8" s="112"/>
      <c r="B8" s="113"/>
      <c r="C8" s="88"/>
      <c r="D8" s="114" t="s">
        <v>90</v>
      </c>
      <c r="E8" s="114"/>
      <c r="F8" s="88"/>
      <c r="G8" s="318"/>
      <c r="H8" s="105" t="s">
        <v>79</v>
      </c>
      <c r="I8" s="110"/>
      <c r="J8" s="111"/>
      <c r="K8" s="24">
        <v>2</v>
      </c>
      <c r="L8" s="24">
        <v>1</v>
      </c>
      <c r="M8" s="104">
        <f>(K8*L8)/(K8+L8)</f>
        <v>0.66666666666666663</v>
      </c>
      <c r="N8" s="328" t="s">
        <v>88</v>
      </c>
      <c r="O8" s="88"/>
      <c r="P8" s="88"/>
      <c r="Q8" s="88"/>
      <c r="R8" s="88"/>
      <c r="S8" s="88"/>
      <c r="T8" s="88"/>
      <c r="U8" s="88"/>
    </row>
    <row r="9" spans="1:21" ht="13.8" thickBot="1">
      <c r="B9" s="112"/>
      <c r="C9" s="113"/>
      <c r="D9" s="88"/>
      <c r="E9" s="88"/>
      <c r="F9" s="88"/>
      <c r="G9" s="329"/>
      <c r="H9" s="115"/>
      <c r="I9" s="106"/>
      <c r="J9" s="106"/>
      <c r="K9" s="477"/>
      <c r="L9" s="477"/>
      <c r="M9" s="108"/>
      <c r="N9" s="328"/>
      <c r="O9" s="88"/>
      <c r="P9" s="88"/>
      <c r="Q9" s="88"/>
      <c r="R9" s="88"/>
      <c r="S9" s="88"/>
      <c r="T9" s="88"/>
      <c r="U9" s="88"/>
    </row>
    <row r="10" spans="1:21" ht="13.8" thickBot="1">
      <c r="A10" s="315"/>
      <c r="B10" s="316"/>
      <c r="C10" s="316"/>
      <c r="D10" s="316"/>
      <c r="E10" s="316"/>
      <c r="F10" s="316"/>
      <c r="G10" s="329"/>
      <c r="H10" s="116" t="s">
        <v>80</v>
      </c>
      <c r="I10" s="117"/>
      <c r="J10" s="118"/>
      <c r="K10" s="478">
        <v>2</v>
      </c>
      <c r="L10" s="478">
        <v>1</v>
      </c>
      <c r="M10" s="474">
        <f>+L10+K10</f>
        <v>3</v>
      </c>
      <c r="N10" s="328" t="s">
        <v>89</v>
      </c>
      <c r="O10" s="88"/>
      <c r="P10" s="88"/>
      <c r="Q10" s="88"/>
      <c r="R10" s="88"/>
      <c r="S10" s="88"/>
      <c r="T10" s="88"/>
      <c r="U10" s="88"/>
    </row>
    <row r="11" spans="1:21" ht="14.25" customHeight="1">
      <c r="B11" s="449" t="s">
        <v>159</v>
      </c>
      <c r="C11" s="463"/>
      <c r="D11" s="464">
        <v>1130</v>
      </c>
      <c r="E11" s="106"/>
      <c r="F11" s="106"/>
      <c r="G11" s="318"/>
      <c r="H11" s="106"/>
      <c r="I11" s="106"/>
      <c r="J11" s="106"/>
      <c r="K11" s="107"/>
      <c r="L11" s="107"/>
      <c r="M11" s="106"/>
      <c r="N11" s="330"/>
      <c r="O11" s="88"/>
      <c r="P11" s="88"/>
      <c r="Q11" s="88"/>
      <c r="R11" s="88"/>
      <c r="S11" s="88"/>
      <c r="T11" s="88"/>
      <c r="U11" s="88"/>
    </row>
    <row r="12" spans="1:21" ht="13.8" thickBot="1">
      <c r="A12" s="318"/>
      <c r="B12" s="106"/>
      <c r="C12" s="106"/>
      <c r="D12" s="106"/>
      <c r="E12" s="106"/>
      <c r="F12" s="106"/>
      <c r="G12" s="318"/>
      <c r="H12" s="106"/>
      <c r="I12" s="106"/>
      <c r="J12" s="106"/>
      <c r="K12" s="107"/>
      <c r="L12" s="107"/>
      <c r="M12" s="106"/>
      <c r="N12" s="330"/>
      <c r="O12" s="88"/>
      <c r="P12" s="88"/>
      <c r="Q12" s="88"/>
      <c r="R12" s="88"/>
      <c r="S12" s="88"/>
      <c r="T12" s="88"/>
      <c r="U12" s="88"/>
    </row>
    <row r="13" spans="1:21" ht="13.8" thickBot="1">
      <c r="A13" s="318"/>
      <c r="B13" s="90" t="s">
        <v>115</v>
      </c>
      <c r="C13" s="119"/>
      <c r="D13" s="119"/>
      <c r="E13" s="91"/>
      <c r="F13" s="106"/>
      <c r="G13" s="318"/>
      <c r="H13" s="106"/>
      <c r="I13" s="106"/>
      <c r="J13" s="106"/>
      <c r="K13" s="107"/>
      <c r="L13" s="107"/>
      <c r="M13" s="106"/>
      <c r="N13" s="330"/>
      <c r="O13" s="88"/>
      <c r="P13" s="88"/>
      <c r="Q13" s="88"/>
      <c r="R13" s="88"/>
      <c r="S13" s="88"/>
      <c r="T13" s="88"/>
      <c r="U13" s="88"/>
    </row>
    <row r="14" spans="1:21">
      <c r="A14" s="318"/>
      <c r="B14" s="120"/>
      <c r="C14" s="121"/>
      <c r="D14" s="122" t="s">
        <v>53</v>
      </c>
      <c r="E14" s="123"/>
      <c r="F14" s="106"/>
      <c r="G14" s="318"/>
      <c r="H14" s="128" t="s">
        <v>77</v>
      </c>
      <c r="I14" s="129"/>
      <c r="J14" s="129"/>
      <c r="K14" s="130" t="s">
        <v>86</v>
      </c>
      <c r="L14" s="129" t="s">
        <v>84</v>
      </c>
      <c r="M14" s="131" t="s">
        <v>85</v>
      </c>
      <c r="N14" s="330"/>
      <c r="O14" s="88"/>
      <c r="P14" s="88"/>
      <c r="Q14" s="88"/>
      <c r="R14" s="88"/>
      <c r="S14" s="88"/>
      <c r="T14" s="88"/>
      <c r="U14" s="88"/>
    </row>
    <row r="15" spans="1:21">
      <c r="A15" s="318"/>
      <c r="B15" s="124" t="s">
        <v>54</v>
      </c>
      <c r="C15" s="125" t="s">
        <v>55</v>
      </c>
      <c r="D15" s="126" t="s">
        <v>56</v>
      </c>
      <c r="E15" s="127"/>
      <c r="F15" s="106"/>
      <c r="G15" s="318"/>
      <c r="H15" s="101" t="s">
        <v>81</v>
      </c>
      <c r="I15" s="102"/>
      <c r="J15" s="103"/>
      <c r="K15" s="24">
        <v>2</v>
      </c>
      <c r="L15" s="24">
        <v>1</v>
      </c>
      <c r="M15" s="104">
        <f>(K15*L15)/(K15+L15)</f>
        <v>0.66666666666666663</v>
      </c>
      <c r="N15" s="328" t="s">
        <v>87</v>
      </c>
      <c r="O15" s="88"/>
      <c r="P15" s="88"/>
      <c r="Q15" s="88"/>
      <c r="R15" s="88"/>
      <c r="S15" s="88"/>
      <c r="T15" s="88"/>
      <c r="U15" s="88"/>
    </row>
    <row r="16" spans="1:21">
      <c r="A16" s="318"/>
      <c r="B16" s="132"/>
      <c r="C16" s="133">
        <v>20</v>
      </c>
      <c r="D16" s="134">
        <f>+(SoS/C16)</f>
        <v>56.5</v>
      </c>
      <c r="E16" s="135" t="s">
        <v>57</v>
      </c>
      <c r="F16" s="106"/>
      <c r="G16" s="318"/>
      <c r="H16" s="115"/>
      <c r="I16" s="106"/>
      <c r="J16" s="106"/>
      <c r="K16" s="107"/>
      <c r="L16" s="107"/>
      <c r="M16" s="475"/>
      <c r="N16" s="328"/>
      <c r="O16" s="88"/>
      <c r="P16" s="88"/>
      <c r="Q16" s="88"/>
      <c r="R16" s="88"/>
      <c r="S16" s="88"/>
      <c r="T16" s="88"/>
      <c r="U16" s="88"/>
    </row>
    <row r="17" spans="1:21">
      <c r="A17" s="318"/>
      <c r="B17" s="136">
        <v>1</v>
      </c>
      <c r="C17" s="137">
        <f>+C16*2</f>
        <v>40</v>
      </c>
      <c r="D17" s="134">
        <f>+(SoS/C17)</f>
        <v>28.25</v>
      </c>
      <c r="E17" s="139" t="s">
        <v>57</v>
      </c>
      <c r="F17" s="106"/>
      <c r="G17" s="318"/>
      <c r="H17" s="105" t="s">
        <v>82</v>
      </c>
      <c r="I17" s="110"/>
      <c r="J17" s="111"/>
      <c r="K17" s="24">
        <v>2</v>
      </c>
      <c r="L17" s="24">
        <v>1</v>
      </c>
      <c r="M17" s="104">
        <f>+L17+K17</f>
        <v>3</v>
      </c>
      <c r="N17" s="328" t="s">
        <v>88</v>
      </c>
      <c r="O17" s="88"/>
      <c r="P17" s="88"/>
      <c r="Q17" s="88"/>
      <c r="R17" s="88"/>
      <c r="S17" s="88"/>
      <c r="T17" s="88"/>
      <c r="U17" s="88"/>
    </row>
    <row r="18" spans="1:21">
      <c r="A18" s="318"/>
      <c r="B18" s="136">
        <v>2</v>
      </c>
      <c r="C18" s="137">
        <f t="shared" ref="C18:C26" si="0">+C17*2</f>
        <v>80</v>
      </c>
      <c r="D18" s="134">
        <f>+(SoS/C18)</f>
        <v>14.125</v>
      </c>
      <c r="E18" s="139" t="s">
        <v>57</v>
      </c>
      <c r="F18" s="106"/>
      <c r="G18" s="318"/>
      <c r="H18" s="115"/>
      <c r="I18" s="106"/>
      <c r="J18" s="106"/>
      <c r="K18" s="477"/>
      <c r="L18" s="477"/>
      <c r="M18" s="475"/>
      <c r="N18" s="328"/>
      <c r="O18" s="88"/>
      <c r="P18" s="88"/>
      <c r="Q18" s="88"/>
      <c r="R18" s="88"/>
      <c r="S18" s="88"/>
      <c r="T18" s="88"/>
      <c r="U18" s="88"/>
    </row>
    <row r="19" spans="1:21" ht="13.8" thickBot="1">
      <c r="A19" s="318"/>
      <c r="B19" s="136">
        <v>3</v>
      </c>
      <c r="C19" s="137">
        <f t="shared" si="0"/>
        <v>160</v>
      </c>
      <c r="D19" s="134">
        <f>+(SoS/C19)</f>
        <v>7.0625</v>
      </c>
      <c r="E19" s="139" t="s">
        <v>57</v>
      </c>
      <c r="F19" s="106"/>
      <c r="G19" s="318"/>
      <c r="H19" s="116" t="s">
        <v>83</v>
      </c>
      <c r="I19" s="117"/>
      <c r="J19" s="118"/>
      <c r="K19" s="478">
        <v>2</v>
      </c>
      <c r="L19" s="478">
        <v>1</v>
      </c>
      <c r="M19" s="474">
        <f>(K19*L19)/(K19+L19)</f>
        <v>0.66666666666666663</v>
      </c>
      <c r="N19" s="328" t="s">
        <v>89</v>
      </c>
      <c r="O19" s="88"/>
      <c r="P19" s="88"/>
      <c r="Q19" s="88"/>
      <c r="R19" s="88"/>
      <c r="S19" s="88"/>
      <c r="T19" s="88"/>
      <c r="U19" s="88"/>
    </row>
    <row r="20" spans="1:21">
      <c r="A20" s="318"/>
      <c r="B20" s="136">
        <v>4</v>
      </c>
      <c r="C20" s="137">
        <f t="shared" si="0"/>
        <v>320</v>
      </c>
      <c r="D20" s="134">
        <f>+(SoS/C20)</f>
        <v>3.53125</v>
      </c>
      <c r="E20" s="139" t="s">
        <v>57</v>
      </c>
      <c r="F20" s="106"/>
      <c r="G20" s="318"/>
      <c r="H20" s="106"/>
      <c r="I20" s="106"/>
      <c r="J20" s="106"/>
      <c r="K20" s="107"/>
      <c r="L20" s="107"/>
      <c r="M20" s="106"/>
      <c r="N20" s="319"/>
      <c r="O20" s="88"/>
      <c r="P20" s="88"/>
      <c r="Q20" s="88"/>
      <c r="R20" s="88"/>
      <c r="S20" s="88"/>
      <c r="T20" s="88"/>
      <c r="U20" s="88"/>
    </row>
    <row r="21" spans="1:21">
      <c r="A21" s="318"/>
      <c r="B21" s="136">
        <v>5</v>
      </c>
      <c r="C21" s="137">
        <f t="shared" si="0"/>
        <v>640</v>
      </c>
      <c r="D21" s="138">
        <v>23</v>
      </c>
      <c r="E21" s="140" t="s">
        <v>58</v>
      </c>
      <c r="F21" s="106"/>
      <c r="G21" s="318"/>
      <c r="H21" s="106"/>
      <c r="I21" s="106"/>
      <c r="J21" s="106"/>
      <c r="K21" s="107"/>
      <c r="L21" s="107"/>
      <c r="M21" s="106"/>
      <c r="N21" s="319"/>
      <c r="O21" s="88"/>
      <c r="P21" s="88"/>
      <c r="Q21" s="88"/>
      <c r="R21" s="88"/>
      <c r="S21" s="88"/>
      <c r="T21" s="88"/>
      <c r="U21" s="88"/>
    </row>
    <row r="22" spans="1:21">
      <c r="A22" s="318"/>
      <c r="B22" s="136">
        <v>6</v>
      </c>
      <c r="C22" s="137">
        <f t="shared" si="0"/>
        <v>1280</v>
      </c>
      <c r="D22" s="138">
        <f>+(SoS/C22)*12</f>
        <v>10.59375</v>
      </c>
      <c r="E22" s="140" t="s">
        <v>58</v>
      </c>
      <c r="F22" s="106"/>
      <c r="G22" s="318"/>
      <c r="H22" s="106"/>
      <c r="I22" s="106"/>
      <c r="J22" s="106"/>
      <c r="K22" s="106"/>
      <c r="L22" s="106"/>
      <c r="M22" s="106"/>
      <c r="N22" s="319"/>
      <c r="O22" s="88"/>
      <c r="P22" s="88"/>
      <c r="Q22" s="88"/>
      <c r="R22" s="88"/>
      <c r="S22" s="88"/>
      <c r="T22" s="88"/>
      <c r="U22" s="88"/>
    </row>
    <row r="23" spans="1:21" ht="13.8" thickBot="1">
      <c r="A23" s="318"/>
      <c r="B23" s="136">
        <v>7</v>
      </c>
      <c r="C23" s="137">
        <v>2500</v>
      </c>
      <c r="D23" s="138">
        <f>+(SoS/C23)*12</f>
        <v>5.4240000000000004</v>
      </c>
      <c r="E23" s="140" t="s">
        <v>58</v>
      </c>
      <c r="F23" s="106"/>
      <c r="G23" s="318"/>
      <c r="H23" s="106"/>
      <c r="I23" s="106"/>
      <c r="J23" s="106"/>
      <c r="K23" s="106"/>
      <c r="L23" s="106"/>
      <c r="M23" s="106"/>
      <c r="N23" s="319"/>
      <c r="O23" s="88"/>
      <c r="P23" s="88"/>
      <c r="Q23" s="88"/>
      <c r="R23" s="88"/>
      <c r="S23" s="88"/>
      <c r="T23" s="88"/>
      <c r="U23" s="88"/>
    </row>
    <row r="24" spans="1:21">
      <c r="A24" s="318"/>
      <c r="B24" s="136">
        <v>8</v>
      </c>
      <c r="C24" s="137">
        <f t="shared" si="0"/>
        <v>5000</v>
      </c>
      <c r="D24" s="138">
        <f>+(SoS/C24)*12</f>
        <v>2.7120000000000002</v>
      </c>
      <c r="E24" s="140" t="s">
        <v>58</v>
      </c>
      <c r="F24" s="106"/>
      <c r="G24" s="315"/>
      <c r="H24" s="316"/>
      <c r="I24" s="316"/>
      <c r="J24" s="316"/>
      <c r="K24" s="316"/>
      <c r="L24" s="316"/>
      <c r="M24" s="316"/>
      <c r="N24" s="317"/>
      <c r="O24" s="88"/>
      <c r="P24" s="88"/>
      <c r="Q24" s="88"/>
      <c r="R24" s="88"/>
      <c r="S24" s="88"/>
      <c r="T24" s="88"/>
      <c r="U24" s="88"/>
    </row>
    <row r="25" spans="1:21">
      <c r="A25" s="318"/>
      <c r="B25" s="136">
        <v>9</v>
      </c>
      <c r="C25" s="137">
        <f t="shared" si="0"/>
        <v>10000</v>
      </c>
      <c r="D25" s="138">
        <f>+(SoS/C25)*12</f>
        <v>1.3560000000000001</v>
      </c>
      <c r="E25" s="140" t="s">
        <v>58</v>
      </c>
      <c r="F25" s="106"/>
      <c r="G25" s="318"/>
      <c r="H25" s="88"/>
      <c r="I25" s="88"/>
      <c r="J25" s="88"/>
      <c r="K25" s="88"/>
      <c r="L25" s="88"/>
      <c r="M25" s="106"/>
      <c r="N25" s="319"/>
      <c r="O25" s="88"/>
      <c r="P25" s="88"/>
      <c r="Q25" s="88"/>
      <c r="R25" s="88"/>
      <c r="S25" s="88"/>
    </row>
    <row r="26" spans="1:21" ht="13.8" thickBot="1">
      <c r="A26" s="318"/>
      <c r="B26" s="141">
        <v>10</v>
      </c>
      <c r="C26" s="142">
        <f t="shared" si="0"/>
        <v>20000</v>
      </c>
      <c r="D26" s="138">
        <f>+(SoS/C26)*12</f>
        <v>0.67800000000000005</v>
      </c>
      <c r="E26" s="143" t="s">
        <v>58</v>
      </c>
      <c r="F26" s="106"/>
      <c r="G26" s="318"/>
      <c r="H26" s="88"/>
      <c r="I26" s="88"/>
      <c r="J26" s="88"/>
      <c r="K26" s="88"/>
      <c r="L26" s="88"/>
      <c r="M26" s="106"/>
      <c r="N26" s="319"/>
      <c r="O26" s="88"/>
      <c r="P26" s="88"/>
      <c r="Q26" s="88"/>
      <c r="R26" s="88"/>
      <c r="S26" s="88"/>
      <c r="T26" s="88"/>
    </row>
    <row r="27" spans="1:21" ht="13.8" thickBot="1">
      <c r="A27" s="318"/>
      <c r="B27" s="106"/>
      <c r="C27" s="326"/>
      <c r="D27" s="106"/>
      <c r="E27" s="106"/>
      <c r="F27" s="106"/>
      <c r="G27" s="318"/>
      <c r="H27" s="457" t="s">
        <v>111</v>
      </c>
      <c r="I27" s="458"/>
      <c r="J27" s="458"/>
      <c r="K27" s="458"/>
      <c r="L27" s="459"/>
      <c r="M27" s="106"/>
      <c r="N27" s="319"/>
      <c r="O27" s="88"/>
      <c r="P27" s="88"/>
      <c r="Q27" s="88"/>
      <c r="R27" s="88"/>
      <c r="S27" s="88"/>
      <c r="T27" s="88"/>
    </row>
    <row r="28" spans="1:21">
      <c r="A28" s="318"/>
      <c r="B28" s="327"/>
      <c r="C28" s="82">
        <v>1130</v>
      </c>
      <c r="D28" s="150">
        <f>SoS/C28</f>
        <v>1</v>
      </c>
      <c r="E28" s="144" t="s">
        <v>57</v>
      </c>
      <c r="F28" s="106"/>
      <c r="G28" s="318"/>
      <c r="H28" s="443"/>
      <c r="I28" s="444"/>
      <c r="J28" s="444"/>
      <c r="K28" s="445" t="s">
        <v>122</v>
      </c>
      <c r="L28" s="437">
        <v>8</v>
      </c>
      <c r="M28" s="106"/>
      <c r="N28" s="319"/>
      <c r="O28" s="88"/>
      <c r="P28" s="88"/>
      <c r="Q28" s="88"/>
      <c r="R28" s="88"/>
      <c r="S28" s="88"/>
      <c r="T28" s="88"/>
    </row>
    <row r="29" spans="1:21" ht="13.8" thickBot="1">
      <c r="A29" s="318"/>
      <c r="B29" s="106"/>
      <c r="C29" s="145"/>
      <c r="D29" s="151">
        <f>+D28*12</f>
        <v>12</v>
      </c>
      <c r="E29" s="143" t="s">
        <v>58</v>
      </c>
      <c r="F29" s="106"/>
      <c r="G29" s="318"/>
      <c r="H29" s="446"/>
      <c r="I29" s="106"/>
      <c r="J29" s="106"/>
      <c r="K29" s="106"/>
      <c r="L29" s="438"/>
      <c r="M29" s="106"/>
      <c r="N29" s="319"/>
      <c r="O29" s="88"/>
      <c r="P29" s="88"/>
      <c r="Q29" s="88"/>
      <c r="R29" s="88"/>
      <c r="S29" s="88"/>
      <c r="T29" s="88"/>
    </row>
    <row r="30" spans="1:21" ht="14.4" thickBot="1">
      <c r="A30" s="318"/>
      <c r="B30" s="106"/>
      <c r="C30" s="106"/>
      <c r="D30" s="146"/>
      <c r="E30" s="147"/>
      <c r="F30" s="106"/>
      <c r="G30" s="318"/>
      <c r="H30" s="449"/>
      <c r="I30" s="110"/>
      <c r="J30" s="450" t="s">
        <v>116</v>
      </c>
      <c r="K30" s="148" t="s">
        <v>117</v>
      </c>
      <c r="L30" s="439">
        <v>1</v>
      </c>
      <c r="M30" s="106"/>
      <c r="N30" s="319"/>
      <c r="O30" s="88"/>
      <c r="P30" s="88"/>
      <c r="Q30" s="88"/>
      <c r="R30" s="88"/>
      <c r="S30" s="88"/>
      <c r="T30" s="88"/>
    </row>
    <row r="31" spans="1:21" ht="13.8">
      <c r="A31" s="318"/>
      <c r="B31" s="327"/>
      <c r="C31" s="152">
        <f>SoS/D31</f>
        <v>1130</v>
      </c>
      <c r="D31" s="83">
        <v>1</v>
      </c>
      <c r="E31" s="144" t="s">
        <v>57</v>
      </c>
      <c r="F31" s="106"/>
      <c r="G31" s="318"/>
      <c r="H31" s="449"/>
      <c r="I31" s="110"/>
      <c r="J31" s="450" t="s">
        <v>118</v>
      </c>
      <c r="K31" s="149" t="s">
        <v>119</v>
      </c>
      <c r="L31" s="439">
        <v>2</v>
      </c>
      <c r="M31" s="106"/>
      <c r="N31" s="319"/>
      <c r="O31" s="88"/>
      <c r="P31" s="88"/>
      <c r="Q31" s="88"/>
      <c r="R31" s="88"/>
      <c r="S31" s="88"/>
      <c r="T31" s="88"/>
    </row>
    <row r="32" spans="1:21" ht="13.8" thickBot="1">
      <c r="A32" s="318"/>
      <c r="B32" s="327"/>
      <c r="C32" s="153">
        <f>(SoS/(D32/12))</f>
        <v>1130</v>
      </c>
      <c r="D32" s="84">
        <v>12</v>
      </c>
      <c r="E32" s="143" t="s">
        <v>58</v>
      </c>
      <c r="F32" s="106"/>
      <c r="G32" s="318"/>
      <c r="H32" s="446"/>
      <c r="I32" s="106"/>
      <c r="J32" s="106"/>
      <c r="K32" s="106"/>
      <c r="L32" s="438"/>
      <c r="M32" s="106"/>
      <c r="N32" s="319"/>
      <c r="O32" s="88"/>
      <c r="P32" s="88"/>
      <c r="Q32" s="88"/>
      <c r="R32" s="88"/>
      <c r="S32" s="88"/>
      <c r="T32" s="88"/>
    </row>
    <row r="33" spans="1:21">
      <c r="A33" s="318"/>
      <c r="B33" s="106"/>
      <c r="C33" s="106"/>
      <c r="D33" s="106"/>
      <c r="E33" s="106"/>
      <c r="F33" s="106"/>
      <c r="G33" s="318"/>
      <c r="H33" s="446"/>
      <c r="I33" s="106"/>
      <c r="J33" s="106"/>
      <c r="K33" s="436" t="s">
        <v>120</v>
      </c>
      <c r="L33" s="440">
        <f>L28/L34</f>
        <v>2</v>
      </c>
      <c r="M33" s="106"/>
      <c r="N33" s="319"/>
      <c r="O33" s="88"/>
      <c r="P33" s="88"/>
      <c r="Q33" s="88"/>
      <c r="R33" s="88"/>
      <c r="S33" s="88"/>
      <c r="T33" s="88"/>
    </row>
    <row r="34" spans="1:21" ht="13.8" thickBot="1">
      <c r="A34" s="320"/>
      <c r="B34" s="321"/>
      <c r="C34" s="321"/>
      <c r="D34" s="321"/>
      <c r="E34" s="321"/>
      <c r="F34" s="321"/>
      <c r="G34" s="318"/>
      <c r="H34" s="446"/>
      <c r="I34" s="106"/>
      <c r="J34" s="106"/>
      <c r="K34" s="436" t="s">
        <v>121</v>
      </c>
      <c r="L34" s="441">
        <f>(L28*L30)/L31</f>
        <v>4</v>
      </c>
      <c r="M34" s="106"/>
      <c r="N34" s="319"/>
      <c r="O34" s="88"/>
      <c r="P34" s="88"/>
      <c r="Q34" s="88"/>
      <c r="R34" s="88"/>
      <c r="S34" s="88"/>
      <c r="T34" s="88"/>
    </row>
    <row r="35" spans="1:21" ht="13.8" thickBot="1">
      <c r="A35" s="315"/>
      <c r="B35" s="316"/>
      <c r="C35" s="316"/>
      <c r="D35" s="316"/>
      <c r="E35" s="316"/>
      <c r="F35" s="316"/>
      <c r="G35" s="318"/>
      <c r="H35" s="447"/>
      <c r="I35" s="102"/>
      <c r="J35" s="102"/>
      <c r="K35" s="448" t="s">
        <v>123</v>
      </c>
      <c r="L35" s="442">
        <f>10*LOG(L33*L31*L30)</f>
        <v>6.0205999132796242</v>
      </c>
      <c r="M35" s="106"/>
      <c r="N35" s="319"/>
      <c r="O35" s="88"/>
      <c r="P35" s="88"/>
      <c r="Q35" s="88"/>
      <c r="R35" s="88"/>
      <c r="S35" s="88"/>
      <c r="T35" s="88"/>
    </row>
    <row r="36" spans="1:21">
      <c r="A36" s="318"/>
      <c r="B36" s="233" t="s">
        <v>148</v>
      </c>
      <c r="C36" s="231"/>
      <c r="D36" s="232"/>
      <c r="E36" s="106"/>
      <c r="F36" s="106"/>
      <c r="G36" s="318"/>
      <c r="H36" s="106"/>
      <c r="I36" s="106"/>
      <c r="J36" s="106"/>
      <c r="K36" s="106"/>
      <c r="L36" s="337"/>
      <c r="M36" s="106"/>
      <c r="N36" s="319"/>
      <c r="O36" s="88"/>
      <c r="P36" s="88"/>
      <c r="Q36" s="88"/>
      <c r="R36" s="88"/>
      <c r="S36" s="88"/>
      <c r="T36" s="88"/>
    </row>
    <row r="37" spans="1:21">
      <c r="A37" s="318"/>
      <c r="B37" s="222" t="s">
        <v>146</v>
      </c>
      <c r="C37" s="223"/>
      <c r="D37" s="238">
        <v>44100</v>
      </c>
      <c r="E37" s="106"/>
      <c r="F37" s="106"/>
      <c r="G37" s="318"/>
      <c r="H37" s="106"/>
      <c r="I37" s="106"/>
      <c r="J37" s="106"/>
      <c r="K37" s="106"/>
      <c r="L37" s="337"/>
      <c r="M37" s="106"/>
      <c r="N37" s="319"/>
      <c r="O37" s="88"/>
      <c r="P37" s="88"/>
      <c r="Q37" s="88"/>
      <c r="R37" s="88"/>
      <c r="S37" s="88"/>
      <c r="T37" s="88"/>
    </row>
    <row r="38" spans="1:21">
      <c r="A38" s="318"/>
      <c r="B38" s="222" t="s">
        <v>147</v>
      </c>
      <c r="C38" s="223"/>
      <c r="D38" s="249">
        <f>SoS/D37</f>
        <v>2.562358276643991E-2</v>
      </c>
      <c r="E38" s="106"/>
      <c r="F38" s="106"/>
      <c r="G38" s="318"/>
      <c r="H38" s="106"/>
      <c r="I38" s="106"/>
      <c r="J38" s="106"/>
      <c r="K38" s="106"/>
      <c r="L38" s="106"/>
      <c r="M38" s="106"/>
      <c r="N38" s="319"/>
      <c r="O38" s="88"/>
      <c r="P38" s="88"/>
      <c r="Q38" s="88"/>
      <c r="R38" s="88"/>
      <c r="S38" s="88"/>
      <c r="T38" s="88"/>
      <c r="U38" s="88"/>
    </row>
    <row r="39" spans="1:21">
      <c r="A39" s="318"/>
      <c r="B39" s="225"/>
      <c r="C39" s="227"/>
      <c r="D39" s="226"/>
      <c r="E39" s="106"/>
      <c r="F39" s="106"/>
      <c r="G39" s="318"/>
      <c r="H39" s="106"/>
      <c r="I39" s="106"/>
      <c r="J39" s="106"/>
      <c r="K39" s="106"/>
      <c r="L39" s="106"/>
      <c r="M39" s="106"/>
      <c r="N39" s="319"/>
      <c r="O39" s="88"/>
      <c r="P39" s="88"/>
      <c r="Q39" s="88"/>
      <c r="R39" s="88"/>
      <c r="S39" s="88"/>
      <c r="T39" s="88"/>
      <c r="U39" s="88"/>
    </row>
    <row r="40" spans="1:21">
      <c r="A40" s="318"/>
      <c r="B40" s="222" t="s">
        <v>151</v>
      </c>
      <c r="C40" s="223"/>
      <c r="D40" s="239">
        <v>10</v>
      </c>
      <c r="E40" s="106"/>
      <c r="F40" s="106"/>
      <c r="G40" s="318"/>
      <c r="H40" s="106"/>
      <c r="I40" s="106"/>
      <c r="J40" s="106"/>
      <c r="K40" s="106"/>
      <c r="L40" s="106"/>
      <c r="M40" s="106"/>
      <c r="N40" s="319"/>
      <c r="O40" s="88"/>
      <c r="P40" s="88"/>
      <c r="Q40" s="88"/>
      <c r="R40" s="88"/>
      <c r="S40" s="88"/>
      <c r="T40" s="88"/>
      <c r="U40" s="88"/>
    </row>
    <row r="41" spans="1:21">
      <c r="A41" s="318"/>
      <c r="B41" s="225"/>
      <c r="C41" s="227"/>
      <c r="D41" s="229"/>
      <c r="E41" s="106"/>
      <c r="F41" s="106"/>
      <c r="G41" s="318"/>
      <c r="H41" s="106"/>
      <c r="I41" s="106"/>
      <c r="J41" s="106"/>
      <c r="K41" s="106"/>
      <c r="L41" s="106"/>
      <c r="M41" s="106"/>
      <c r="N41" s="319"/>
      <c r="O41" s="88"/>
      <c r="P41" s="88"/>
      <c r="Q41" s="88"/>
      <c r="R41" s="88"/>
      <c r="S41" s="88"/>
      <c r="T41" s="88"/>
      <c r="U41" s="88"/>
    </row>
    <row r="42" spans="1:21">
      <c r="A42" s="318"/>
      <c r="B42" s="225" t="s">
        <v>149</v>
      </c>
      <c r="C42" s="227"/>
      <c r="D42" s="237">
        <f>+D40*D38</f>
        <v>0.25623582766439912</v>
      </c>
      <c r="E42" s="106"/>
      <c r="F42" s="106"/>
      <c r="G42" s="318"/>
      <c r="H42" s="106"/>
      <c r="I42" s="106"/>
      <c r="J42" s="106"/>
      <c r="K42" s="106"/>
      <c r="L42" s="106"/>
      <c r="M42" s="106"/>
      <c r="N42" s="319"/>
      <c r="O42" s="88"/>
      <c r="P42" s="88"/>
      <c r="Q42" s="88"/>
      <c r="R42" s="88"/>
      <c r="S42" s="88"/>
      <c r="T42" s="88"/>
      <c r="U42" s="88"/>
    </row>
    <row r="43" spans="1:21">
      <c r="A43" s="318"/>
      <c r="B43" s="234" t="s">
        <v>150</v>
      </c>
      <c r="C43" s="235"/>
      <c r="D43" s="236">
        <f>+D42*12</f>
        <v>3.0748299319727894</v>
      </c>
      <c r="E43" s="106"/>
      <c r="F43" s="106"/>
      <c r="G43" s="318"/>
      <c r="H43" s="106"/>
      <c r="I43" s="106"/>
      <c r="J43" s="106"/>
      <c r="K43" s="106"/>
      <c r="L43" s="106"/>
      <c r="M43" s="106"/>
      <c r="N43" s="319"/>
      <c r="O43" s="88"/>
      <c r="P43" s="88"/>
      <c r="Q43" s="88"/>
      <c r="R43" s="88"/>
      <c r="S43" s="88"/>
      <c r="T43" s="88"/>
      <c r="U43" s="88"/>
    </row>
    <row r="44" spans="1:21" ht="13.8" thickBot="1">
      <c r="A44" s="318"/>
      <c r="B44" s="228" t="s">
        <v>55</v>
      </c>
      <c r="C44" s="230"/>
      <c r="D44" s="224">
        <f>SoS/D42</f>
        <v>4410</v>
      </c>
      <c r="E44" s="106"/>
      <c r="F44" s="106"/>
      <c r="G44" s="318"/>
      <c r="H44" s="106"/>
      <c r="I44" s="106"/>
      <c r="J44" s="106"/>
      <c r="K44" s="106"/>
      <c r="L44" s="106"/>
      <c r="M44" s="106"/>
      <c r="N44" s="319"/>
      <c r="O44" s="88"/>
      <c r="P44" s="88"/>
      <c r="Q44" s="88"/>
      <c r="R44" s="88"/>
      <c r="S44" s="88"/>
      <c r="T44" s="88"/>
      <c r="U44" s="88"/>
    </row>
    <row r="45" spans="1:21">
      <c r="A45" s="318"/>
      <c r="B45" s="106"/>
      <c r="C45" s="106"/>
      <c r="D45" s="106"/>
      <c r="E45" s="106"/>
      <c r="F45" s="106"/>
      <c r="G45" s="318"/>
      <c r="H45" s="106"/>
      <c r="I45" s="106"/>
      <c r="J45" s="106"/>
      <c r="K45" s="106"/>
      <c r="L45" s="106"/>
      <c r="M45" s="106"/>
      <c r="N45" s="319"/>
      <c r="O45" s="88"/>
      <c r="P45" s="88"/>
      <c r="Q45" s="88"/>
      <c r="R45" s="88"/>
      <c r="S45" s="88"/>
      <c r="T45" s="88"/>
      <c r="U45" s="88"/>
    </row>
    <row r="46" spans="1:21">
      <c r="A46" s="318"/>
      <c r="B46" s="499" t="s">
        <v>152</v>
      </c>
      <c r="C46" s="500"/>
      <c r="D46" s="500"/>
      <c r="E46" s="106"/>
      <c r="F46" s="106"/>
      <c r="G46" s="318"/>
      <c r="H46" s="106"/>
      <c r="I46" s="106"/>
      <c r="J46" s="106"/>
      <c r="K46" s="106"/>
      <c r="L46" s="106"/>
      <c r="M46" s="106"/>
      <c r="N46" s="319"/>
      <c r="O46" s="88"/>
      <c r="P46" s="88"/>
      <c r="Q46" s="88"/>
      <c r="R46" s="88"/>
      <c r="S46" s="88"/>
      <c r="T46" s="88"/>
      <c r="U46" s="88"/>
    </row>
    <row r="47" spans="1:21">
      <c r="A47" s="318"/>
      <c r="B47" s="500"/>
      <c r="C47" s="500"/>
      <c r="D47" s="500"/>
      <c r="E47" s="106"/>
      <c r="F47" s="106"/>
      <c r="G47" s="318"/>
      <c r="H47" s="106"/>
      <c r="I47" s="106"/>
      <c r="J47" s="106"/>
      <c r="K47" s="106"/>
      <c r="L47" s="106"/>
      <c r="M47" s="106"/>
      <c r="N47" s="319"/>
      <c r="O47" s="88"/>
      <c r="P47" s="88"/>
      <c r="Q47" s="88"/>
      <c r="R47" s="88"/>
      <c r="S47" s="88"/>
      <c r="T47" s="88"/>
      <c r="U47" s="88"/>
    </row>
    <row r="48" spans="1:21">
      <c r="A48" s="318"/>
      <c r="B48" s="500"/>
      <c r="C48" s="500"/>
      <c r="D48" s="500"/>
      <c r="E48" s="106"/>
      <c r="F48" s="106"/>
      <c r="G48" s="318"/>
      <c r="H48" s="106"/>
      <c r="I48" s="106"/>
      <c r="J48" s="106"/>
      <c r="K48" s="106"/>
      <c r="L48" s="106"/>
      <c r="M48" s="106"/>
      <c r="N48" s="319"/>
      <c r="O48" s="88"/>
      <c r="P48" s="88"/>
      <c r="Q48" s="88"/>
      <c r="R48" s="88"/>
      <c r="S48" s="88"/>
      <c r="T48" s="88"/>
      <c r="U48" s="88"/>
    </row>
    <row r="49" spans="1:21">
      <c r="A49" s="318"/>
      <c r="B49" s="500"/>
      <c r="C49" s="500"/>
      <c r="D49" s="500"/>
      <c r="E49" s="106"/>
      <c r="F49" s="106"/>
      <c r="G49" s="318"/>
      <c r="H49" s="106"/>
      <c r="I49" s="106"/>
      <c r="J49" s="106"/>
      <c r="K49" s="106"/>
      <c r="L49" s="106"/>
      <c r="M49" s="106"/>
      <c r="N49" s="319"/>
      <c r="O49" s="88"/>
      <c r="P49" s="88"/>
      <c r="Q49" s="88"/>
      <c r="R49" s="88"/>
      <c r="S49" s="88"/>
      <c r="T49" s="88"/>
      <c r="U49" s="88"/>
    </row>
    <row r="50" spans="1:21">
      <c r="A50" s="318"/>
      <c r="B50" s="500"/>
      <c r="C50" s="500"/>
      <c r="D50" s="500"/>
      <c r="E50" s="106"/>
      <c r="F50" s="106"/>
      <c r="G50" s="318"/>
      <c r="H50" s="106"/>
      <c r="I50" s="106"/>
      <c r="J50" s="106"/>
      <c r="K50" s="106"/>
      <c r="L50" s="106"/>
      <c r="M50" s="106"/>
      <c r="N50" s="319"/>
      <c r="O50" s="88"/>
      <c r="P50" s="88"/>
      <c r="Q50" s="88"/>
      <c r="R50" s="88"/>
      <c r="S50" s="88"/>
      <c r="T50" s="88"/>
      <c r="U50" s="88"/>
    </row>
    <row r="51" spans="1:21">
      <c r="A51" s="318"/>
      <c r="B51" s="500"/>
      <c r="C51" s="500"/>
      <c r="D51" s="500"/>
      <c r="E51" s="106"/>
      <c r="F51" s="106"/>
      <c r="G51" s="318"/>
      <c r="H51" s="106"/>
      <c r="I51" s="106"/>
      <c r="J51" s="106"/>
      <c r="K51" s="106"/>
      <c r="L51" s="106"/>
      <c r="M51" s="106"/>
      <c r="N51" s="319"/>
      <c r="O51" s="88"/>
      <c r="P51" s="88"/>
      <c r="Q51" s="88"/>
      <c r="R51" s="88"/>
      <c r="S51" s="88"/>
      <c r="T51" s="88"/>
      <c r="U51" s="88"/>
    </row>
    <row r="52" spans="1:21">
      <c r="A52" s="318"/>
      <c r="B52" s="501"/>
      <c r="C52" s="501"/>
      <c r="D52" s="501"/>
      <c r="E52" s="106"/>
      <c r="F52" s="106"/>
      <c r="G52" s="318"/>
      <c r="H52" s="106"/>
      <c r="I52" s="106"/>
      <c r="J52" s="106"/>
      <c r="K52" s="106"/>
      <c r="L52" s="106"/>
      <c r="M52" s="106"/>
      <c r="N52" s="319"/>
      <c r="O52" s="88"/>
      <c r="P52" s="88"/>
      <c r="Q52" s="88"/>
      <c r="R52" s="88"/>
      <c r="S52" s="88"/>
      <c r="T52" s="88"/>
      <c r="U52" s="88"/>
    </row>
    <row r="53" spans="1:21">
      <c r="A53" s="318"/>
      <c r="B53" s="501"/>
      <c r="C53" s="501"/>
      <c r="D53" s="501"/>
      <c r="E53" s="106"/>
      <c r="F53" s="106"/>
      <c r="G53" s="318"/>
      <c r="H53" s="106"/>
      <c r="I53" s="106"/>
      <c r="J53" s="106"/>
      <c r="K53" s="106"/>
      <c r="L53" s="106"/>
      <c r="M53" s="106"/>
      <c r="N53" s="319"/>
      <c r="O53" s="88"/>
      <c r="P53" s="88"/>
      <c r="Q53" s="88"/>
      <c r="R53" s="88"/>
      <c r="S53" s="88"/>
      <c r="T53" s="88"/>
      <c r="U53" s="88"/>
    </row>
    <row r="54" spans="1:21">
      <c r="A54" s="318"/>
      <c r="B54" s="501"/>
      <c r="C54" s="501"/>
      <c r="D54" s="501"/>
      <c r="E54" s="106"/>
      <c r="F54" s="106"/>
      <c r="G54" s="318"/>
      <c r="H54" s="106"/>
      <c r="I54" s="106"/>
      <c r="J54" s="106"/>
      <c r="K54" s="106"/>
      <c r="L54" s="106"/>
      <c r="M54" s="106"/>
      <c r="N54" s="319"/>
      <c r="O54" s="88"/>
      <c r="P54" s="88"/>
      <c r="Q54" s="88"/>
      <c r="R54" s="88"/>
      <c r="S54" s="88"/>
      <c r="T54" s="88"/>
      <c r="U54" s="88"/>
    </row>
    <row r="55" spans="1:21" ht="13.8" thickBot="1">
      <c r="A55" s="320"/>
      <c r="B55" s="502"/>
      <c r="C55" s="502"/>
      <c r="D55" s="502"/>
      <c r="E55" s="321"/>
      <c r="F55" s="321"/>
      <c r="G55" s="320"/>
      <c r="H55" s="321"/>
      <c r="I55" s="321"/>
      <c r="J55" s="321"/>
      <c r="K55" s="321"/>
      <c r="L55" s="321"/>
      <c r="M55" s="321"/>
      <c r="N55" s="322"/>
      <c r="O55" s="88"/>
      <c r="P55" s="88"/>
      <c r="Q55" s="88"/>
      <c r="R55" s="88"/>
      <c r="S55" s="88"/>
      <c r="T55" s="88"/>
      <c r="U55" s="88"/>
    </row>
    <row r="56" spans="1:21">
      <c r="A56" s="315"/>
      <c r="B56" s="323"/>
      <c r="C56" s="323"/>
      <c r="D56" s="323"/>
      <c r="E56" s="316"/>
      <c r="F56" s="316"/>
      <c r="G56" s="316"/>
      <c r="H56" s="316"/>
      <c r="I56" s="317"/>
      <c r="J56" s="106"/>
      <c r="K56" s="106"/>
      <c r="L56" s="106"/>
      <c r="M56" s="106"/>
      <c r="N56" s="106"/>
      <c r="O56" s="88"/>
      <c r="P56" s="88"/>
      <c r="Q56" s="88"/>
      <c r="R56" s="88"/>
      <c r="S56" s="88"/>
      <c r="T56" s="88"/>
      <c r="U56" s="88"/>
    </row>
    <row r="57" spans="1:21" ht="13.8" thickBot="1">
      <c r="A57" s="318"/>
      <c r="B57" s="333"/>
      <c r="C57" s="333"/>
      <c r="D57" s="333"/>
      <c r="E57" s="106"/>
      <c r="F57" s="106"/>
      <c r="G57" s="106"/>
      <c r="H57" s="106"/>
      <c r="I57" s="319"/>
      <c r="J57" s="88"/>
      <c r="K57" s="88"/>
      <c r="L57" s="88"/>
      <c r="M57" s="88"/>
      <c r="N57" s="88"/>
      <c r="O57" s="88"/>
      <c r="P57" s="88"/>
      <c r="Q57" s="88"/>
      <c r="R57" s="88"/>
      <c r="S57" s="88"/>
      <c r="T57" s="88"/>
      <c r="U57" s="88"/>
    </row>
    <row r="58" spans="1:21" s="88" customFormat="1" ht="13.8" thickBot="1">
      <c r="A58" s="318"/>
      <c r="B58" s="277" t="s">
        <v>220</v>
      </c>
      <c r="C58" s="278"/>
      <c r="D58" s="231"/>
      <c r="E58" s="232"/>
      <c r="F58" s="335" t="s">
        <v>260</v>
      </c>
      <c r="G58" s="106"/>
      <c r="H58" s="338" t="s">
        <v>263</v>
      </c>
      <c r="I58" s="319"/>
      <c r="K58" s="88" t="s">
        <v>257</v>
      </c>
    </row>
    <row r="59" spans="1:21" s="88" customFormat="1">
      <c r="A59" s="318"/>
      <c r="B59" s="279" t="s">
        <v>162</v>
      </c>
      <c r="C59" s="281"/>
      <c r="D59" s="289">
        <v>5.0999999999999996</v>
      </c>
      <c r="E59" s="108" t="s">
        <v>67</v>
      </c>
      <c r="F59" s="470">
        <f>+D59/2.54</f>
        <v>2.0078740157480315</v>
      </c>
      <c r="G59" s="471" t="s">
        <v>261</v>
      </c>
      <c r="H59" s="469">
        <f>(PI()*((F59/2)^2))</f>
        <v>3.1663782984015794</v>
      </c>
      <c r="I59" s="336" t="s">
        <v>161</v>
      </c>
      <c r="K59" s="423"/>
      <c r="L59" s="424"/>
      <c r="M59" s="424"/>
      <c r="N59" s="425"/>
    </row>
    <row r="60" spans="1:21" s="88" customFormat="1">
      <c r="A60" s="318"/>
      <c r="B60" s="222" t="s">
        <v>163</v>
      </c>
      <c r="C60" s="223"/>
      <c r="D60" s="290">
        <v>25.4</v>
      </c>
      <c r="E60" s="108" t="s">
        <v>67</v>
      </c>
      <c r="F60" s="472">
        <f>+D60/2.54</f>
        <v>10</v>
      </c>
      <c r="G60" s="473" t="s">
        <v>262</v>
      </c>
      <c r="H60" s="469">
        <f>(PI()*((D59/2)^2))</f>
        <v>20.428206229967628</v>
      </c>
      <c r="I60" s="336" t="s">
        <v>166</v>
      </c>
      <c r="K60" s="426"/>
      <c r="L60" s="357"/>
      <c r="M60" s="357"/>
      <c r="N60" s="427"/>
    </row>
    <row r="61" spans="1:21" s="88" customFormat="1">
      <c r="A61" s="318"/>
      <c r="B61" s="222" t="s">
        <v>168</v>
      </c>
      <c r="C61" s="223"/>
      <c r="D61" s="286">
        <f>(PI()*((D59/2)^2)*D60)</f>
        <v>518.87643824117777</v>
      </c>
      <c r="E61" s="108" t="s">
        <v>169</v>
      </c>
      <c r="F61" s="106"/>
      <c r="G61" s="106"/>
      <c r="H61" s="335"/>
      <c r="I61" s="336"/>
      <c r="K61" s="426"/>
      <c r="L61" s="357"/>
      <c r="M61" s="357"/>
      <c r="N61" s="427"/>
    </row>
    <row r="62" spans="1:21" s="88" customFormat="1">
      <c r="A62" s="318"/>
      <c r="B62" s="222" t="s">
        <v>168</v>
      </c>
      <c r="C62" s="223"/>
      <c r="D62" s="287">
        <f>+H59*D68</f>
        <v>31.663782984015793</v>
      </c>
      <c r="E62" s="108" t="s">
        <v>170</v>
      </c>
      <c r="F62" s="324"/>
      <c r="G62" s="497" t="s">
        <v>215</v>
      </c>
      <c r="H62" s="498"/>
      <c r="I62" s="336"/>
      <c r="K62" s="426"/>
      <c r="L62" s="357"/>
      <c r="M62" s="357"/>
      <c r="N62" s="427"/>
    </row>
    <row r="63" spans="1:21" s="88" customFormat="1">
      <c r="A63" s="318"/>
      <c r="B63" s="282"/>
      <c r="C63" s="106"/>
      <c r="D63" s="284"/>
      <c r="E63" s="108"/>
      <c r="F63" s="106"/>
      <c r="G63" s="498"/>
      <c r="H63" s="498"/>
      <c r="I63" s="336"/>
      <c r="K63" s="426"/>
      <c r="L63" s="357"/>
      <c r="M63" s="357"/>
      <c r="N63" s="427"/>
    </row>
    <row r="64" spans="1:21" s="88" customFormat="1">
      <c r="A64" s="318"/>
      <c r="B64" s="282" t="s">
        <v>164</v>
      </c>
      <c r="C64" s="106"/>
      <c r="D64" s="332">
        <f>+D67-D62</f>
        <v>-1.6637829840157927</v>
      </c>
      <c r="E64" s="108" t="s">
        <v>170</v>
      </c>
      <c r="F64" s="106"/>
      <c r="G64" s="498"/>
      <c r="H64" s="498"/>
      <c r="I64" s="336"/>
      <c r="K64" s="426"/>
      <c r="L64" s="357"/>
      <c r="M64" s="357"/>
      <c r="N64" s="427"/>
    </row>
    <row r="65" spans="1:14" s="88" customFormat="1">
      <c r="A65" s="318"/>
      <c r="B65" s="282"/>
      <c r="C65" s="106"/>
      <c r="D65" s="285">
        <f>+D64/D62</f>
        <v>-5.2545300252205739E-2</v>
      </c>
      <c r="E65" s="108"/>
      <c r="F65" s="106"/>
      <c r="G65" s="498"/>
      <c r="H65" s="498"/>
      <c r="I65" s="336"/>
      <c r="K65" s="426"/>
      <c r="L65" s="357"/>
      <c r="M65" s="357"/>
      <c r="N65" s="427"/>
    </row>
    <row r="66" spans="1:14" s="88" customFormat="1">
      <c r="A66" s="318"/>
      <c r="B66" s="282"/>
      <c r="C66" s="106"/>
      <c r="D66" s="285"/>
      <c r="E66" s="108"/>
      <c r="F66" s="106"/>
      <c r="G66" s="498"/>
      <c r="H66" s="498"/>
      <c r="I66" s="336"/>
      <c r="K66" s="426"/>
      <c r="L66" s="357"/>
      <c r="M66" s="357"/>
      <c r="N66" s="427"/>
    </row>
    <row r="67" spans="1:14" s="88" customFormat="1" ht="15" customHeight="1">
      <c r="A67" s="318"/>
      <c r="B67" s="222" t="s">
        <v>165</v>
      </c>
      <c r="C67" s="235"/>
      <c r="D67" s="297">
        <f>+D68*C69*C70</f>
        <v>30</v>
      </c>
      <c r="E67" s="288" t="s">
        <v>170</v>
      </c>
      <c r="F67" s="325" t="str">
        <f>IF('Conversion tools'!D68&gt;(Main!$L$65-2),"Port length too long for depth of cabinet!","")</f>
        <v>Port length too long for depth of cabinet!</v>
      </c>
      <c r="G67" s="106"/>
      <c r="H67" s="106"/>
      <c r="I67" s="336"/>
      <c r="K67" s="426"/>
      <c r="L67" s="357"/>
      <c r="M67" s="357"/>
      <c r="N67" s="427"/>
    </row>
    <row r="68" spans="1:14" s="88" customFormat="1" ht="15" customHeight="1">
      <c r="A68" s="318"/>
      <c r="B68" s="225" t="s">
        <v>56</v>
      </c>
      <c r="C68" s="334"/>
      <c r="D68" s="296">
        <f>+D60/2.54</f>
        <v>10</v>
      </c>
      <c r="E68" s="108" t="s">
        <v>205</v>
      </c>
      <c r="F68" s="325" t="str">
        <f>IF('Conversion tools'!C69&gt;(Main!$J$65),"Port width wider than ID of cabinet!","")</f>
        <v/>
      </c>
      <c r="G68" s="106" t="s">
        <v>255</v>
      </c>
      <c r="H68" s="147"/>
      <c r="I68" s="336"/>
      <c r="K68" s="426"/>
      <c r="L68" s="357"/>
      <c r="M68" s="357"/>
      <c r="N68" s="427"/>
    </row>
    <row r="69" spans="1:14" s="88" customFormat="1" ht="15" customHeight="1">
      <c r="A69" s="318"/>
      <c r="B69" s="222" t="s">
        <v>33</v>
      </c>
      <c r="C69" s="296">
        <f>+D69/8</f>
        <v>3</v>
      </c>
      <c r="D69" s="357">
        <v>24</v>
      </c>
      <c r="E69" s="358"/>
      <c r="F69" s="106"/>
      <c r="G69" s="453">
        <f>+D62/1728</f>
        <v>1.8323948486120251E-2</v>
      </c>
      <c r="H69" s="454" t="s">
        <v>259</v>
      </c>
      <c r="I69" s="455"/>
      <c r="K69" s="426"/>
      <c r="L69" s="357"/>
      <c r="M69" s="357"/>
      <c r="N69" s="427"/>
    </row>
    <row r="70" spans="1:14" s="88" customFormat="1" ht="13.8" thickBot="1">
      <c r="A70" s="318"/>
      <c r="B70" s="280" t="s">
        <v>34</v>
      </c>
      <c r="C70" s="283">
        <f>+D70/16</f>
        <v>1</v>
      </c>
      <c r="D70" s="359">
        <v>16</v>
      </c>
      <c r="E70" s="360"/>
      <c r="F70" s="106"/>
      <c r="G70" s="451">
        <f>+G69*28.32</f>
        <v>0.51893422112692555</v>
      </c>
      <c r="H70" s="452" t="s">
        <v>222</v>
      </c>
      <c r="I70" s="456"/>
      <c r="K70" s="426"/>
      <c r="L70" s="357"/>
      <c r="M70" s="357"/>
      <c r="N70" s="427"/>
    </row>
    <row r="71" spans="1:14" s="88" customFormat="1">
      <c r="A71" s="318"/>
      <c r="B71" s="106"/>
      <c r="C71" s="106"/>
      <c r="D71" s="106"/>
      <c r="E71" s="106"/>
      <c r="F71" s="106"/>
      <c r="G71" s="106"/>
      <c r="H71" s="106"/>
      <c r="I71" s="319"/>
      <c r="K71" s="426"/>
      <c r="L71" s="357"/>
      <c r="M71" s="357"/>
      <c r="N71" s="427"/>
    </row>
    <row r="72" spans="1:14" s="88" customFormat="1">
      <c r="A72" s="318"/>
      <c r="B72" s="106" t="s">
        <v>206</v>
      </c>
      <c r="C72" s="106"/>
      <c r="D72" s="106"/>
      <c r="E72" s="106"/>
      <c r="F72" s="106"/>
      <c r="G72" s="106"/>
      <c r="H72" s="106"/>
      <c r="I72" s="319"/>
      <c r="K72" s="426"/>
      <c r="L72" s="357"/>
      <c r="M72" s="357"/>
      <c r="N72" s="427"/>
    </row>
    <row r="73" spans="1:14" s="88" customFormat="1" ht="13.8" thickBot="1">
      <c r="A73" s="320"/>
      <c r="B73" s="321"/>
      <c r="C73" s="321"/>
      <c r="D73" s="321"/>
      <c r="E73" s="321"/>
      <c r="F73" s="321"/>
      <c r="G73" s="321"/>
      <c r="H73" s="321"/>
      <c r="I73" s="322"/>
      <c r="K73" s="426"/>
      <c r="L73" s="357"/>
      <c r="M73" s="357"/>
      <c r="N73" s="427"/>
    </row>
    <row r="74" spans="1:14" s="88" customFormat="1">
      <c r="A74" s="315"/>
      <c r="B74" s="316"/>
      <c r="C74" s="316"/>
      <c r="D74" s="316"/>
      <c r="E74" s="316"/>
      <c r="F74" s="316"/>
      <c r="G74" s="316"/>
      <c r="H74" s="316"/>
      <c r="I74" s="317"/>
      <c r="K74" s="426"/>
      <c r="L74" s="357"/>
      <c r="M74" s="357"/>
      <c r="N74" s="427"/>
    </row>
    <row r="75" spans="1:14" s="88" customFormat="1">
      <c r="A75" s="318"/>
      <c r="B75" s="106" t="s">
        <v>213</v>
      </c>
      <c r="C75" s="106"/>
      <c r="D75" s="106"/>
      <c r="E75" s="106"/>
      <c r="F75" s="106"/>
      <c r="G75" s="106"/>
      <c r="H75" s="476"/>
      <c r="I75" s="319"/>
      <c r="K75" s="426"/>
      <c r="L75" s="357"/>
      <c r="M75" s="357"/>
      <c r="N75" s="427"/>
    </row>
    <row r="76" spans="1:14" s="88" customFormat="1">
      <c r="A76" s="318"/>
      <c r="B76" s="337"/>
      <c r="C76" s="106"/>
      <c r="D76" s="106"/>
      <c r="E76" s="106"/>
      <c r="F76" s="106"/>
      <c r="G76" s="106"/>
      <c r="H76" s="106"/>
      <c r="I76" s="319"/>
      <c r="K76" s="426"/>
      <c r="L76" s="357"/>
      <c r="M76" s="357"/>
      <c r="N76" s="427"/>
    </row>
    <row r="77" spans="1:14" s="88" customFormat="1">
      <c r="A77" s="318"/>
      <c r="B77" s="503" t="s">
        <v>210</v>
      </c>
      <c r="C77" s="507"/>
      <c r="D77" s="106"/>
      <c r="E77" s="347"/>
      <c r="F77" s="347"/>
      <c r="G77" s="106"/>
      <c r="H77" s="347"/>
      <c r="I77" s="319"/>
      <c r="K77" s="426"/>
      <c r="L77" s="357"/>
      <c r="M77" s="357"/>
      <c r="N77" s="427"/>
    </row>
    <row r="78" spans="1:14" s="95" customFormat="1">
      <c r="A78" s="318"/>
      <c r="B78" s="505" t="s">
        <v>211</v>
      </c>
      <c r="C78" s="506"/>
      <c r="D78" s="333"/>
      <c r="E78" s="503" t="s">
        <v>209</v>
      </c>
      <c r="F78" s="504"/>
      <c r="G78" s="106"/>
      <c r="H78" s="465" t="s">
        <v>212</v>
      </c>
      <c r="I78" s="319"/>
      <c r="K78" s="460"/>
      <c r="L78" s="461"/>
      <c r="M78" s="461"/>
      <c r="N78" s="462"/>
    </row>
    <row r="79" spans="1:14" s="88" customFormat="1">
      <c r="A79" s="343"/>
      <c r="B79" s="467" t="s">
        <v>177</v>
      </c>
      <c r="C79" s="468" t="s">
        <v>96</v>
      </c>
      <c r="D79" s="337"/>
      <c r="E79" s="467" t="s">
        <v>207</v>
      </c>
      <c r="F79" s="468" t="s">
        <v>208</v>
      </c>
      <c r="G79" s="337"/>
      <c r="H79" s="466" t="s">
        <v>208</v>
      </c>
      <c r="I79" s="344"/>
      <c r="K79" s="426"/>
      <c r="L79" s="357"/>
      <c r="M79" s="357"/>
      <c r="N79" s="427"/>
    </row>
    <row r="80" spans="1:14" s="88" customFormat="1">
      <c r="A80" s="318"/>
      <c r="B80" s="339">
        <v>100</v>
      </c>
      <c r="C80" s="340">
        <f>+B80/25.4</f>
        <v>3.9370078740157481</v>
      </c>
      <c r="D80" s="341"/>
      <c r="E80" s="342">
        <f>(PI()*((B80/2)^2))/100</f>
        <v>78.539816339744831</v>
      </c>
      <c r="F80" s="342">
        <f>(PI()*((B80/2)^2))/(25.4^2)</f>
        <v>12.173695880052209</v>
      </c>
      <c r="G80" s="106"/>
      <c r="H80" s="348">
        <f t="shared" ref="H80:H90" si="1">+F80*2</f>
        <v>24.347391760104419</v>
      </c>
      <c r="I80" s="319"/>
      <c r="K80" s="426"/>
      <c r="L80" s="357"/>
      <c r="M80" s="357"/>
      <c r="N80" s="427"/>
    </row>
    <row r="81" spans="1:14" s="88" customFormat="1">
      <c r="A81" s="318"/>
      <c r="B81" s="339">
        <v>130</v>
      </c>
      <c r="C81" s="340">
        <f t="shared" ref="C81:C90" si="2">+B81/25.4</f>
        <v>5.1181102362204731</v>
      </c>
      <c r="D81" s="341"/>
      <c r="E81" s="342">
        <f t="shared" ref="E81:E90" si="3">(PI()*((B81/2)^2))/100</f>
        <v>132.73228961416876</v>
      </c>
      <c r="F81" s="342">
        <f t="shared" ref="F81:F90" si="4">(PI()*((B81/2)^2))/(25.4^2)</f>
        <v>20.573546037288235</v>
      </c>
      <c r="G81" s="106"/>
      <c r="H81" s="346">
        <f t="shared" si="1"/>
        <v>41.14709207457647</v>
      </c>
      <c r="I81" s="345"/>
      <c r="K81" s="426"/>
      <c r="L81" s="357"/>
      <c r="M81" s="357"/>
      <c r="N81" s="427"/>
    </row>
    <row r="82" spans="1:14" s="88" customFormat="1">
      <c r="A82" s="318"/>
      <c r="B82" s="339">
        <v>140</v>
      </c>
      <c r="C82" s="340">
        <f t="shared" si="2"/>
        <v>5.5118110236220472</v>
      </c>
      <c r="D82" s="341"/>
      <c r="E82" s="342">
        <f t="shared" si="3"/>
        <v>153.93804002589985</v>
      </c>
      <c r="F82" s="349">
        <f t="shared" si="4"/>
        <v>23.860443924902331</v>
      </c>
      <c r="G82" s="106"/>
      <c r="H82" s="352">
        <f t="shared" si="1"/>
        <v>47.720887849804662</v>
      </c>
      <c r="I82" s="345"/>
      <c r="K82" s="426"/>
      <c r="L82" s="357"/>
      <c r="M82" s="357"/>
      <c r="N82" s="427"/>
    </row>
    <row r="83" spans="1:14" s="88" customFormat="1">
      <c r="A83" s="318"/>
      <c r="B83" s="339">
        <v>170</v>
      </c>
      <c r="C83" s="340">
        <f t="shared" si="2"/>
        <v>6.6929133858267722</v>
      </c>
      <c r="D83" s="341"/>
      <c r="E83" s="342">
        <f t="shared" si="3"/>
        <v>226.98006922186255</v>
      </c>
      <c r="F83" s="342">
        <f t="shared" si="4"/>
        <v>35.181981093350885</v>
      </c>
      <c r="G83" s="106"/>
      <c r="H83" s="346">
        <f t="shared" si="1"/>
        <v>70.363962186701769</v>
      </c>
      <c r="I83" s="345"/>
      <c r="K83" s="426"/>
      <c r="L83" s="357"/>
      <c r="M83" s="357"/>
      <c r="N83" s="427"/>
    </row>
    <row r="84" spans="1:14" s="88" customFormat="1">
      <c r="A84" s="318"/>
      <c r="B84" s="339">
        <v>180</v>
      </c>
      <c r="C84" s="340">
        <f t="shared" si="2"/>
        <v>7.0866141732283472</v>
      </c>
      <c r="D84" s="341"/>
      <c r="E84" s="342">
        <f t="shared" si="3"/>
        <v>254.46900494077323</v>
      </c>
      <c r="F84" s="342">
        <f t="shared" si="4"/>
        <v>39.442774651369156</v>
      </c>
      <c r="G84" s="106"/>
      <c r="H84" s="350">
        <f t="shared" si="1"/>
        <v>78.885549302738312</v>
      </c>
      <c r="I84" s="345"/>
      <c r="K84" s="426"/>
      <c r="L84" s="357"/>
      <c r="M84" s="357"/>
      <c r="N84" s="427"/>
    </row>
    <row r="85" spans="1:14" s="88" customFormat="1">
      <c r="A85" s="318"/>
      <c r="B85" s="339">
        <v>210</v>
      </c>
      <c r="C85" s="340">
        <f t="shared" si="2"/>
        <v>8.2677165354330722</v>
      </c>
      <c r="D85" s="341"/>
      <c r="E85" s="342">
        <f t="shared" si="3"/>
        <v>346.36059005827468</v>
      </c>
      <c r="F85" s="353">
        <f t="shared" si="4"/>
        <v>53.68599883103024</v>
      </c>
      <c r="G85" s="106"/>
      <c r="H85" s="346">
        <f t="shared" si="1"/>
        <v>107.37199766206048</v>
      </c>
      <c r="I85" s="345"/>
      <c r="K85" s="426"/>
      <c r="L85" s="357"/>
      <c r="M85" s="357"/>
      <c r="N85" s="427"/>
    </row>
    <row r="86" spans="1:14" s="88" customFormat="1">
      <c r="A86" s="318"/>
      <c r="B86" s="339">
        <v>220</v>
      </c>
      <c r="C86" s="340">
        <f t="shared" si="2"/>
        <v>8.6614173228346463</v>
      </c>
      <c r="D86" s="341"/>
      <c r="E86" s="342">
        <f t="shared" si="3"/>
        <v>380.13271108436498</v>
      </c>
      <c r="F86" s="342">
        <f t="shared" si="4"/>
        <v>58.920688059452694</v>
      </c>
      <c r="G86" s="106"/>
      <c r="H86" s="346">
        <f t="shared" si="1"/>
        <v>117.84137611890539</v>
      </c>
      <c r="I86" s="345"/>
      <c r="K86" s="426"/>
      <c r="L86" s="357"/>
      <c r="M86" s="357"/>
      <c r="N86" s="427"/>
    </row>
    <row r="87" spans="1:14" s="88" customFormat="1">
      <c r="A87" s="318"/>
      <c r="B87" s="339">
        <v>250</v>
      </c>
      <c r="C87" s="340">
        <f t="shared" si="2"/>
        <v>9.8425196850393704</v>
      </c>
      <c r="D87" s="341"/>
      <c r="E87" s="342">
        <f t="shared" si="3"/>
        <v>490.87385212340519</v>
      </c>
      <c r="F87" s="342">
        <f t="shared" si="4"/>
        <v>76.085599250326311</v>
      </c>
      <c r="G87" s="106"/>
      <c r="H87" s="346">
        <f t="shared" si="1"/>
        <v>152.17119850065262</v>
      </c>
      <c r="I87" s="345"/>
      <c r="K87" s="426"/>
      <c r="L87" s="357"/>
      <c r="M87" s="357"/>
      <c r="N87" s="427"/>
    </row>
    <row r="88" spans="1:14" s="88" customFormat="1">
      <c r="A88" s="318"/>
      <c r="B88" s="339">
        <v>260</v>
      </c>
      <c r="C88" s="340">
        <f t="shared" si="2"/>
        <v>10.236220472440946</v>
      </c>
      <c r="D88" s="341"/>
      <c r="E88" s="342">
        <f t="shared" si="3"/>
        <v>530.92915845667505</v>
      </c>
      <c r="F88" s="351">
        <f t="shared" si="4"/>
        <v>82.29418414915294</v>
      </c>
      <c r="G88" s="106"/>
      <c r="H88" s="346">
        <f t="shared" si="1"/>
        <v>164.58836829830588</v>
      </c>
      <c r="I88" s="345"/>
      <c r="K88" s="426"/>
      <c r="L88" s="357"/>
      <c r="M88" s="357"/>
      <c r="N88" s="427"/>
    </row>
    <row r="89" spans="1:14" s="88" customFormat="1">
      <c r="A89" s="318"/>
      <c r="B89" s="339">
        <v>300</v>
      </c>
      <c r="C89" s="340">
        <f t="shared" si="2"/>
        <v>11.811023622047244</v>
      </c>
      <c r="D89" s="341"/>
      <c r="E89" s="342">
        <f t="shared" si="3"/>
        <v>706.85834705770355</v>
      </c>
      <c r="F89" s="342">
        <f t="shared" si="4"/>
        <v>109.5632629204699</v>
      </c>
      <c r="G89" s="106"/>
      <c r="H89" s="346">
        <f t="shared" si="1"/>
        <v>219.12652584093979</v>
      </c>
      <c r="I89" s="345"/>
      <c r="K89" s="426"/>
      <c r="L89" s="357"/>
      <c r="M89" s="357"/>
      <c r="N89" s="427"/>
    </row>
    <row r="90" spans="1:14" s="88" customFormat="1">
      <c r="A90" s="318"/>
      <c r="B90" s="339">
        <v>320</v>
      </c>
      <c r="C90" s="340">
        <f t="shared" si="2"/>
        <v>12.598425196850394</v>
      </c>
      <c r="D90" s="341"/>
      <c r="E90" s="342">
        <f t="shared" si="3"/>
        <v>804.24771931898704</v>
      </c>
      <c r="F90" s="342">
        <f t="shared" si="4"/>
        <v>124.65864581173463</v>
      </c>
      <c r="G90" s="106"/>
      <c r="H90" s="346">
        <f t="shared" si="1"/>
        <v>249.31729162346926</v>
      </c>
      <c r="I90" s="345"/>
      <c r="K90" s="426"/>
      <c r="L90" s="357"/>
      <c r="M90" s="357"/>
      <c r="N90" s="427"/>
    </row>
    <row r="91" spans="1:14" s="88" customFormat="1">
      <c r="A91" s="318"/>
      <c r="B91" s="106"/>
      <c r="C91" s="106"/>
      <c r="D91" s="106"/>
      <c r="E91" s="106"/>
      <c r="F91" s="106"/>
      <c r="G91" s="106"/>
      <c r="H91" s="106"/>
      <c r="I91" s="319"/>
      <c r="K91" s="426"/>
      <c r="L91" s="357"/>
      <c r="M91" s="357"/>
      <c r="N91" s="427"/>
    </row>
    <row r="92" spans="1:14" s="88" customFormat="1">
      <c r="A92" s="318"/>
      <c r="B92" s="88" t="s">
        <v>214</v>
      </c>
      <c r="C92" s="106"/>
      <c r="D92" s="106"/>
      <c r="E92" s="106"/>
      <c r="F92" s="106"/>
      <c r="G92" s="106"/>
      <c r="H92" s="106"/>
      <c r="I92" s="319"/>
      <c r="K92" s="426"/>
      <c r="L92" s="357"/>
      <c r="M92" s="357"/>
      <c r="N92" s="427"/>
    </row>
    <row r="93" spans="1:14" s="88" customFormat="1">
      <c r="A93" s="318"/>
      <c r="B93" s="106" t="s">
        <v>219</v>
      </c>
      <c r="C93" s="106"/>
      <c r="D93" s="106"/>
      <c r="E93" s="106"/>
      <c r="F93" s="106"/>
      <c r="G93" s="106"/>
      <c r="H93" s="106"/>
      <c r="I93" s="319"/>
      <c r="K93" s="426"/>
      <c r="L93" s="357"/>
      <c r="M93" s="357"/>
      <c r="N93" s="427"/>
    </row>
    <row r="94" spans="1:14" s="88" customFormat="1" ht="13.8" thickBot="1">
      <c r="A94" s="320"/>
      <c r="B94" s="321"/>
      <c r="C94" s="321"/>
      <c r="D94" s="321"/>
      <c r="E94" s="321"/>
      <c r="F94" s="321"/>
      <c r="G94" s="321"/>
      <c r="H94" s="321"/>
      <c r="I94" s="322"/>
      <c r="K94" s="429"/>
      <c r="L94" s="430"/>
      <c r="M94" s="430"/>
      <c r="N94" s="431"/>
    </row>
    <row r="95" spans="1:14" s="88" customFormat="1"/>
    <row r="96" spans="1:14" s="88" customFormat="1"/>
    <row r="97" spans="2:17" s="88" customFormat="1">
      <c r="B97" s="88" t="s">
        <v>256</v>
      </c>
    </row>
    <row r="98" spans="2:17" s="88" customFormat="1"/>
    <row r="99" spans="2:17" s="88" customFormat="1"/>
    <row r="100" spans="2:17" s="88" customFormat="1"/>
    <row r="101" spans="2:17" s="88" customFormat="1"/>
    <row r="102" spans="2:17" s="88" customFormat="1"/>
    <row r="103" spans="2:17" s="88" customFormat="1"/>
    <row r="104" spans="2:17" s="88" customFormat="1"/>
    <row r="105" spans="2:17" s="88" customFormat="1"/>
    <row r="106" spans="2:17" s="88" customFormat="1"/>
    <row r="107" spans="2:17" s="88" customFormat="1"/>
    <row r="108" spans="2:17">
      <c r="B108" s="88"/>
      <c r="C108" s="88"/>
      <c r="D108" s="88"/>
      <c r="E108" s="88"/>
      <c r="F108" s="88"/>
      <c r="G108" s="88"/>
      <c r="H108" s="88"/>
      <c r="I108" s="88"/>
      <c r="J108" s="88"/>
      <c r="K108" s="88"/>
      <c r="L108" s="88"/>
      <c r="M108" s="88"/>
      <c r="N108" s="88"/>
      <c r="O108" s="88"/>
      <c r="P108" s="88"/>
      <c r="Q108" s="88"/>
    </row>
    <row r="109" spans="2:17">
      <c r="B109" s="88"/>
      <c r="C109" s="88"/>
      <c r="D109" s="88"/>
      <c r="E109" s="88"/>
      <c r="F109" s="88"/>
      <c r="G109" s="88"/>
      <c r="H109" s="88"/>
      <c r="I109" s="88"/>
      <c r="J109" s="88"/>
      <c r="K109" s="88"/>
      <c r="L109" s="88"/>
      <c r="M109" s="88"/>
      <c r="N109" s="88"/>
      <c r="O109" s="88"/>
      <c r="P109" s="88"/>
      <c r="Q109" s="88"/>
    </row>
    <row r="110" spans="2:17">
      <c r="B110" s="88"/>
      <c r="C110" s="88"/>
      <c r="D110" s="88"/>
      <c r="E110" s="88"/>
      <c r="F110" s="88"/>
      <c r="G110" s="88"/>
      <c r="H110" s="88"/>
      <c r="I110" s="88"/>
      <c r="J110" s="88"/>
      <c r="K110" s="88"/>
      <c r="L110" s="88"/>
      <c r="M110" s="88"/>
      <c r="N110" s="88"/>
      <c r="O110" s="88"/>
      <c r="P110" s="88"/>
      <c r="Q110" s="88"/>
    </row>
    <row r="111" spans="2:17">
      <c r="B111" s="88"/>
      <c r="C111" s="88"/>
      <c r="D111" s="88"/>
      <c r="E111" s="88"/>
      <c r="F111" s="88"/>
      <c r="G111" s="88"/>
      <c r="H111" s="88"/>
      <c r="I111" s="88"/>
      <c r="J111" s="88"/>
      <c r="K111" s="88"/>
      <c r="L111" s="88"/>
      <c r="M111" s="88"/>
      <c r="N111" s="88"/>
      <c r="O111" s="88"/>
      <c r="P111" s="88"/>
      <c r="Q111" s="88"/>
    </row>
    <row r="112" spans="2:17">
      <c r="B112" s="88"/>
      <c r="C112" s="88"/>
      <c r="D112" s="88"/>
      <c r="E112" s="88"/>
      <c r="F112" s="88"/>
      <c r="G112" s="88"/>
      <c r="H112" s="88"/>
      <c r="I112" s="88"/>
      <c r="J112" s="88"/>
      <c r="K112" s="88"/>
      <c r="L112" s="88"/>
      <c r="M112" s="88"/>
      <c r="N112" s="88"/>
      <c r="O112" s="88"/>
      <c r="P112" s="88"/>
      <c r="Q112" s="88"/>
    </row>
    <row r="113" spans="2:17">
      <c r="B113" s="88"/>
      <c r="C113" s="88"/>
      <c r="D113" s="88"/>
      <c r="E113" s="88"/>
      <c r="F113" s="88"/>
      <c r="G113" s="88"/>
      <c r="H113" s="88"/>
      <c r="I113" s="88"/>
      <c r="J113" s="88"/>
      <c r="K113" s="88"/>
      <c r="L113" s="88"/>
      <c r="M113" s="88"/>
      <c r="N113" s="88"/>
      <c r="O113" s="88"/>
      <c r="P113" s="88"/>
      <c r="Q113" s="88"/>
    </row>
    <row r="114" spans="2:17">
      <c r="B114" s="88"/>
      <c r="C114" s="88"/>
      <c r="D114" s="88"/>
      <c r="E114" s="88"/>
      <c r="F114" s="88"/>
      <c r="G114" s="88"/>
      <c r="H114" s="88"/>
      <c r="I114" s="88"/>
      <c r="J114" s="88"/>
      <c r="K114" s="88"/>
      <c r="L114" s="88"/>
      <c r="M114" s="88"/>
      <c r="N114" s="88"/>
      <c r="O114" s="88"/>
      <c r="P114" s="88"/>
      <c r="Q114" s="88"/>
    </row>
    <row r="115" spans="2:17">
      <c r="B115" s="88"/>
      <c r="C115" s="88"/>
      <c r="D115" s="88"/>
      <c r="E115" s="88"/>
      <c r="F115" s="88"/>
      <c r="G115" s="88"/>
      <c r="H115" s="88"/>
      <c r="I115" s="88"/>
      <c r="J115" s="88"/>
      <c r="K115" s="88"/>
      <c r="L115" s="88"/>
      <c r="M115" s="88"/>
      <c r="N115" s="88"/>
      <c r="O115" s="88"/>
      <c r="P115" s="88"/>
      <c r="Q115" s="88"/>
    </row>
    <row r="116" spans="2:17">
      <c r="B116" s="88"/>
      <c r="C116" s="88"/>
      <c r="D116" s="88"/>
      <c r="E116" s="88"/>
      <c r="F116" s="88"/>
      <c r="G116" s="88"/>
      <c r="H116" s="88"/>
      <c r="I116" s="88"/>
      <c r="J116" s="88"/>
      <c r="K116" s="88"/>
      <c r="L116" s="88"/>
      <c r="M116" s="88"/>
      <c r="N116" s="88"/>
      <c r="O116" s="88"/>
      <c r="P116" s="88"/>
      <c r="Q116" s="88"/>
    </row>
    <row r="117" spans="2:17">
      <c r="B117" s="88"/>
      <c r="C117" s="88"/>
      <c r="D117" s="88"/>
      <c r="E117" s="88"/>
      <c r="F117" s="88"/>
      <c r="G117" s="88"/>
      <c r="H117" s="88"/>
      <c r="I117" s="88"/>
      <c r="J117" s="88"/>
      <c r="K117" s="88"/>
      <c r="L117" s="88"/>
      <c r="M117" s="88"/>
      <c r="N117" s="88"/>
      <c r="O117" s="88"/>
      <c r="P117" s="88"/>
      <c r="Q117" s="88"/>
    </row>
    <row r="118" spans="2:17">
      <c r="B118" s="88"/>
      <c r="C118" s="88"/>
      <c r="D118" s="88"/>
      <c r="E118" s="88"/>
      <c r="F118" s="88"/>
      <c r="G118" s="88"/>
      <c r="H118" s="88"/>
      <c r="I118" s="88"/>
      <c r="J118" s="88"/>
      <c r="K118" s="88"/>
      <c r="L118" s="88"/>
      <c r="M118" s="88"/>
      <c r="N118" s="88"/>
      <c r="O118" s="88"/>
      <c r="P118" s="88"/>
      <c r="Q118" s="88"/>
    </row>
    <row r="119" spans="2:17">
      <c r="B119" s="88"/>
      <c r="C119" s="88"/>
      <c r="D119" s="88"/>
      <c r="E119" s="88"/>
      <c r="F119" s="88"/>
      <c r="G119" s="88"/>
      <c r="H119" s="88"/>
      <c r="I119" s="88"/>
      <c r="J119" s="88"/>
      <c r="K119" s="88"/>
      <c r="L119" s="88"/>
      <c r="M119" s="88"/>
      <c r="N119" s="88"/>
      <c r="O119" s="88"/>
      <c r="P119" s="88"/>
      <c r="Q119" s="88"/>
    </row>
    <row r="120" spans="2:17">
      <c r="B120" s="88"/>
      <c r="C120" s="88"/>
      <c r="D120" s="88"/>
      <c r="E120" s="88"/>
      <c r="F120" s="88"/>
      <c r="G120" s="88"/>
      <c r="H120" s="88"/>
      <c r="I120" s="88"/>
      <c r="J120" s="88"/>
      <c r="K120" s="88"/>
      <c r="L120" s="88"/>
      <c r="M120" s="88"/>
      <c r="N120" s="88"/>
      <c r="O120" s="88"/>
      <c r="P120" s="88"/>
      <c r="Q120" s="88"/>
    </row>
    <row r="121" spans="2:17">
      <c r="B121" s="88"/>
      <c r="C121" s="88"/>
      <c r="D121" s="88"/>
      <c r="E121" s="88"/>
      <c r="F121" s="88"/>
      <c r="G121" s="88"/>
      <c r="H121" s="88"/>
      <c r="I121" s="88"/>
      <c r="J121" s="88"/>
      <c r="K121" s="88"/>
      <c r="L121" s="88"/>
      <c r="M121" s="88"/>
      <c r="N121" s="88"/>
      <c r="O121" s="88"/>
      <c r="P121" s="88"/>
      <c r="Q121" s="88"/>
    </row>
    <row r="122" spans="2:17">
      <c r="B122" s="88"/>
      <c r="C122" s="88"/>
      <c r="D122" s="88"/>
      <c r="E122" s="88"/>
      <c r="F122" s="88"/>
      <c r="G122" s="88"/>
      <c r="H122" s="88"/>
      <c r="I122" s="88"/>
      <c r="J122" s="88"/>
      <c r="K122" s="88"/>
      <c r="L122" s="88"/>
      <c r="M122" s="88"/>
      <c r="N122" s="88"/>
      <c r="O122" s="88"/>
      <c r="P122" s="88"/>
      <c r="Q122" s="88"/>
    </row>
    <row r="123" spans="2:17">
      <c r="B123" s="88" t="s">
        <v>264</v>
      </c>
      <c r="C123" s="88"/>
      <c r="D123" s="88"/>
      <c r="E123" s="88"/>
      <c r="F123" s="88"/>
      <c r="G123" s="88"/>
      <c r="H123" s="88"/>
      <c r="I123" s="88"/>
      <c r="J123" s="88"/>
      <c r="K123" s="88"/>
      <c r="L123" s="88"/>
      <c r="M123" s="88"/>
      <c r="N123" s="88"/>
      <c r="O123" s="88"/>
      <c r="P123" s="88"/>
      <c r="Q123" s="88"/>
    </row>
    <row r="124" spans="2:17">
      <c r="B124" s="88"/>
      <c r="C124" s="88"/>
      <c r="D124" s="88"/>
      <c r="E124" s="88"/>
      <c r="F124" s="88"/>
      <c r="G124" s="88"/>
      <c r="H124" s="88"/>
      <c r="I124" s="88"/>
      <c r="J124" s="88"/>
      <c r="K124" s="88"/>
      <c r="L124" s="88"/>
      <c r="M124" s="88"/>
      <c r="N124" s="88"/>
      <c r="O124" s="88"/>
      <c r="P124" s="88"/>
      <c r="Q124" s="88"/>
    </row>
    <row r="125" spans="2:17">
      <c r="B125" s="88"/>
      <c r="C125" s="88"/>
      <c r="D125" s="88"/>
      <c r="E125" s="88"/>
      <c r="F125" s="88"/>
      <c r="G125" s="88"/>
      <c r="H125" s="88"/>
      <c r="I125" s="88"/>
      <c r="J125" s="88"/>
      <c r="K125" s="88"/>
      <c r="L125" s="88"/>
      <c r="M125" s="88"/>
      <c r="N125" s="88"/>
      <c r="O125" s="88"/>
      <c r="P125" s="88"/>
      <c r="Q125" s="88"/>
    </row>
    <row r="126" spans="2:17">
      <c r="B126" s="88"/>
      <c r="C126" s="88"/>
      <c r="D126" s="88"/>
      <c r="E126" s="88"/>
      <c r="F126" s="88"/>
      <c r="G126" s="88"/>
      <c r="H126" s="88"/>
      <c r="I126" s="88"/>
      <c r="J126" s="88"/>
      <c r="K126" s="88"/>
      <c r="L126" s="88"/>
      <c r="M126" s="88"/>
      <c r="N126" s="88"/>
      <c r="O126" s="88"/>
      <c r="P126" s="88"/>
      <c r="Q126" s="88"/>
    </row>
    <row r="127" spans="2:17">
      <c r="B127" s="88"/>
      <c r="C127" s="88"/>
      <c r="D127" s="88"/>
      <c r="E127" s="88"/>
      <c r="F127" s="88"/>
      <c r="G127" s="88"/>
      <c r="H127" s="88"/>
      <c r="I127" s="88"/>
      <c r="J127" s="88"/>
      <c r="K127" s="88"/>
      <c r="L127" s="88"/>
      <c r="M127" s="88"/>
      <c r="N127" s="88"/>
      <c r="O127" s="88"/>
      <c r="P127" s="88"/>
      <c r="Q127" s="88"/>
    </row>
    <row r="128" spans="2:17">
      <c r="B128" s="88"/>
      <c r="C128" s="88"/>
      <c r="D128" s="88"/>
      <c r="E128" s="88"/>
      <c r="F128" s="88"/>
      <c r="G128" s="88"/>
      <c r="H128" s="88"/>
      <c r="I128" s="88"/>
      <c r="J128" s="88"/>
      <c r="K128" s="88"/>
      <c r="L128" s="88"/>
      <c r="M128" s="88"/>
      <c r="N128" s="88"/>
      <c r="O128" s="88"/>
      <c r="P128" s="88"/>
      <c r="Q128" s="88"/>
    </row>
    <row r="129" spans="2:17">
      <c r="B129" s="88"/>
      <c r="C129" s="88"/>
      <c r="D129" s="88"/>
      <c r="E129" s="88"/>
      <c r="F129" s="88"/>
      <c r="G129" s="88"/>
      <c r="H129" s="88"/>
      <c r="I129" s="88"/>
      <c r="J129" s="88"/>
      <c r="K129" s="88"/>
      <c r="L129" s="88"/>
      <c r="M129" s="88"/>
      <c r="N129" s="88"/>
      <c r="O129" s="88"/>
      <c r="P129" s="88"/>
      <c r="Q129" s="88"/>
    </row>
    <row r="130" spans="2:17">
      <c r="B130" s="88"/>
      <c r="C130" s="88"/>
      <c r="D130" s="88"/>
      <c r="E130" s="88"/>
      <c r="F130" s="88"/>
      <c r="G130" s="88"/>
      <c r="H130" s="88"/>
      <c r="I130" s="88"/>
      <c r="J130" s="88"/>
      <c r="K130" s="88"/>
      <c r="L130" s="88"/>
      <c r="M130" s="88"/>
      <c r="N130" s="88"/>
      <c r="O130" s="88"/>
      <c r="P130" s="88"/>
      <c r="Q130" s="88"/>
    </row>
    <row r="131" spans="2:17">
      <c r="B131" s="88"/>
      <c r="C131" s="88"/>
      <c r="D131" s="88"/>
      <c r="E131" s="88"/>
      <c r="F131" s="88"/>
      <c r="G131" s="88"/>
      <c r="H131" s="88"/>
      <c r="I131" s="88"/>
      <c r="J131" s="88"/>
      <c r="K131" s="88"/>
      <c r="L131" s="88"/>
      <c r="M131" s="88"/>
      <c r="N131" s="88"/>
      <c r="O131" s="88"/>
      <c r="P131" s="88"/>
      <c r="Q131" s="88"/>
    </row>
    <row r="132" spans="2:17">
      <c r="B132" s="88"/>
      <c r="C132" s="88"/>
      <c r="D132" s="88"/>
      <c r="E132" s="88"/>
      <c r="F132" s="88"/>
      <c r="G132" s="88"/>
      <c r="H132" s="88"/>
      <c r="I132" s="88"/>
      <c r="J132" s="88"/>
      <c r="K132" s="88"/>
      <c r="L132" s="88"/>
      <c r="M132" s="88"/>
      <c r="N132" s="88"/>
      <c r="O132" s="88"/>
      <c r="P132" s="88"/>
      <c r="Q132" s="88"/>
    </row>
    <row r="133" spans="2:17">
      <c r="B133" s="88"/>
      <c r="C133" s="88"/>
      <c r="D133" s="88"/>
      <c r="E133" s="88"/>
      <c r="F133" s="88"/>
      <c r="G133" s="88"/>
      <c r="H133" s="88"/>
      <c r="I133" s="88"/>
      <c r="J133" s="88"/>
      <c r="K133" s="88"/>
      <c r="L133" s="88"/>
      <c r="M133" s="88"/>
      <c r="N133" s="88"/>
      <c r="O133" s="88"/>
      <c r="P133" s="88"/>
      <c r="Q133" s="88"/>
    </row>
    <row r="134" spans="2:17">
      <c r="B134" s="88"/>
      <c r="C134" s="88"/>
      <c r="D134" s="88"/>
      <c r="E134" s="88"/>
      <c r="F134" s="88"/>
      <c r="G134" s="88"/>
      <c r="H134" s="88"/>
      <c r="I134" s="88"/>
      <c r="J134" s="88"/>
      <c r="K134" s="88"/>
      <c r="L134" s="88"/>
      <c r="M134" s="88"/>
      <c r="N134" s="88"/>
      <c r="O134" s="88"/>
      <c r="P134" s="88"/>
      <c r="Q134" s="88"/>
    </row>
    <row r="135" spans="2:17">
      <c r="B135" s="88"/>
      <c r="C135" s="88"/>
      <c r="D135" s="88"/>
      <c r="E135" s="88"/>
      <c r="F135" s="88"/>
      <c r="G135" s="88"/>
      <c r="H135" s="88"/>
      <c r="I135" s="88"/>
      <c r="J135" s="88"/>
      <c r="K135" s="88"/>
      <c r="L135" s="88"/>
      <c r="M135" s="88"/>
      <c r="N135" s="88"/>
      <c r="O135" s="88"/>
      <c r="P135" s="88"/>
      <c r="Q135" s="88"/>
    </row>
    <row r="136" spans="2:17">
      <c r="B136" s="88"/>
      <c r="C136" s="88"/>
      <c r="D136" s="88"/>
      <c r="E136" s="88"/>
      <c r="F136" s="88"/>
      <c r="G136" s="88"/>
      <c r="H136" s="88"/>
      <c r="I136" s="88"/>
      <c r="J136" s="88"/>
      <c r="K136" s="88"/>
      <c r="L136" s="88"/>
      <c r="M136" s="88"/>
      <c r="N136" s="88"/>
      <c r="O136" s="88"/>
      <c r="P136" s="88"/>
      <c r="Q136" s="88"/>
    </row>
    <row r="137" spans="2:17">
      <c r="B137" s="88"/>
      <c r="C137" s="88"/>
      <c r="D137" s="88"/>
      <c r="E137" s="88"/>
      <c r="F137" s="88"/>
      <c r="G137" s="88"/>
      <c r="H137" s="88"/>
      <c r="I137" s="88"/>
      <c r="J137" s="88"/>
      <c r="K137" s="88"/>
      <c r="L137" s="88"/>
      <c r="M137" s="88"/>
      <c r="N137" s="88"/>
      <c r="O137" s="88"/>
      <c r="P137" s="88"/>
      <c r="Q137" s="88"/>
    </row>
    <row r="138" spans="2:17">
      <c r="B138" s="88"/>
      <c r="C138" s="88"/>
      <c r="D138" s="88"/>
      <c r="E138" s="88"/>
      <c r="F138" s="88"/>
      <c r="G138" s="88"/>
      <c r="H138" s="88"/>
      <c r="I138" s="88"/>
      <c r="J138" s="88"/>
      <c r="K138" s="88"/>
      <c r="L138" s="88"/>
      <c r="M138" s="88"/>
      <c r="N138" s="88"/>
      <c r="O138" s="88"/>
      <c r="P138" s="88"/>
      <c r="Q138" s="88"/>
    </row>
    <row r="139" spans="2:17">
      <c r="B139" s="88"/>
      <c r="C139" s="88"/>
      <c r="D139" s="88"/>
      <c r="E139" s="88"/>
      <c r="F139" s="88"/>
      <c r="G139" s="88"/>
      <c r="H139" s="88"/>
      <c r="I139" s="88"/>
      <c r="J139" s="88"/>
      <c r="K139" s="88"/>
      <c r="L139" s="88"/>
      <c r="M139" s="88"/>
      <c r="N139" s="88"/>
      <c r="O139" s="88"/>
      <c r="P139" s="88"/>
      <c r="Q139" s="88"/>
    </row>
    <row r="140" spans="2:17">
      <c r="B140" s="88"/>
      <c r="C140" s="88"/>
      <c r="D140" s="88"/>
      <c r="E140" s="88"/>
      <c r="F140" s="88"/>
      <c r="G140" s="88"/>
      <c r="H140" s="88"/>
      <c r="I140" s="88"/>
      <c r="J140" s="88"/>
      <c r="K140" s="88"/>
      <c r="L140" s="88"/>
      <c r="M140" s="88"/>
      <c r="N140" s="88"/>
      <c r="O140" s="88"/>
      <c r="P140" s="88"/>
      <c r="Q140" s="88"/>
    </row>
    <row r="141" spans="2:17">
      <c r="B141" s="88"/>
      <c r="C141" s="88"/>
      <c r="D141" s="88"/>
      <c r="E141" s="88"/>
      <c r="F141" s="88"/>
      <c r="G141" s="88"/>
      <c r="H141" s="88"/>
      <c r="I141" s="88"/>
      <c r="J141" s="88"/>
      <c r="K141" s="88"/>
      <c r="L141" s="88"/>
      <c r="M141" s="88"/>
      <c r="N141" s="88"/>
      <c r="O141" s="88"/>
      <c r="P141" s="88"/>
      <c r="Q141" s="88"/>
    </row>
    <row r="142" spans="2:17">
      <c r="B142" s="88"/>
      <c r="C142" s="88"/>
      <c r="D142" s="88"/>
      <c r="E142" s="88"/>
      <c r="F142" s="88"/>
      <c r="G142" s="88"/>
      <c r="H142" s="88"/>
      <c r="I142" s="88"/>
      <c r="J142" s="88"/>
      <c r="K142" s="88"/>
      <c r="L142" s="88"/>
      <c r="M142" s="88"/>
      <c r="N142" s="88"/>
      <c r="O142" s="88"/>
      <c r="P142" s="88"/>
      <c r="Q142" s="88"/>
    </row>
    <row r="143" spans="2:17">
      <c r="B143" s="88"/>
      <c r="C143" s="88"/>
      <c r="D143" s="88"/>
      <c r="E143" s="88"/>
      <c r="F143" s="88"/>
      <c r="G143" s="88"/>
      <c r="H143" s="88"/>
      <c r="I143" s="88"/>
      <c r="J143" s="88"/>
      <c r="K143" s="88"/>
      <c r="L143" s="88"/>
      <c r="M143" s="88"/>
      <c r="N143" s="88"/>
      <c r="O143" s="88"/>
      <c r="P143" s="88"/>
      <c r="Q143" s="88"/>
    </row>
    <row r="144" spans="2:17" s="88" customFormat="1"/>
    <row r="145" spans="2:10" s="88" customFormat="1"/>
    <row r="146" spans="2:10" s="88" customFormat="1"/>
    <row r="147" spans="2:10" s="88" customFormat="1">
      <c r="B147" s="88" t="s">
        <v>258</v>
      </c>
      <c r="F147" s="88" t="s">
        <v>258</v>
      </c>
      <c r="J147" s="88" t="s">
        <v>258</v>
      </c>
    </row>
    <row r="148" spans="2:10" s="88" customFormat="1"/>
    <row r="149" spans="2:10" s="88" customFormat="1"/>
    <row r="150" spans="2:10" s="88" customFormat="1"/>
    <row r="151" spans="2:10" s="88" customFormat="1"/>
    <row r="152" spans="2:10" s="88" customFormat="1"/>
    <row r="153" spans="2:10" s="88" customFormat="1"/>
    <row r="154" spans="2:10" s="88" customFormat="1"/>
    <row r="155" spans="2:10" s="88" customFormat="1"/>
    <row r="156" spans="2:10" s="88" customFormat="1"/>
    <row r="157" spans="2:10" s="88" customFormat="1"/>
    <row r="158" spans="2:10" s="88" customFormat="1"/>
    <row r="159" spans="2:10" s="88" customFormat="1"/>
    <row r="160" spans="2:1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row r="204" s="88" customFormat="1"/>
    <row r="205" s="88" customFormat="1"/>
    <row r="206" s="88" customFormat="1"/>
    <row r="207" s="88" customFormat="1"/>
    <row r="208" s="88" customFormat="1"/>
    <row r="209" s="88" customFormat="1"/>
    <row r="210" s="88" customFormat="1"/>
    <row r="211" s="88" customFormat="1"/>
    <row r="212" s="88" customFormat="1"/>
    <row r="213" s="88" customFormat="1"/>
    <row r="214" s="88" customFormat="1"/>
    <row r="215" s="88" customFormat="1"/>
  </sheetData>
  <sheetProtection sheet="1" objects="1" scenarios="1"/>
  <mergeCells count="5">
    <mergeCell ref="G62:H66"/>
    <mergeCell ref="B46:D55"/>
    <mergeCell ref="E78:F78"/>
    <mergeCell ref="B78:C78"/>
    <mergeCell ref="B77:C77"/>
  </mergeCells>
  <phoneticPr fontId="0" type="noConversion"/>
  <pageMargins left="0.75" right="0.75" top="1" bottom="1" header="0.5" footer="0.5"/>
  <pageSetup scale="5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sheetPr enableFormatConditionsCalculation="0">
    <tabColor indexed="26"/>
  </sheetPr>
  <dimension ref="A1:L36"/>
  <sheetViews>
    <sheetView workbookViewId="0">
      <selection activeCell="E20" sqref="E20"/>
    </sheetView>
  </sheetViews>
  <sheetFormatPr defaultColWidth="9.109375" defaultRowHeight="13.2"/>
  <cols>
    <col min="1" max="1" width="20.5546875" style="11" customWidth="1"/>
    <col min="2" max="2" width="11.33203125" style="11" customWidth="1"/>
    <col min="3" max="3" width="9.109375" style="11"/>
    <col min="4" max="4" width="16.6640625" style="11" customWidth="1"/>
    <col min="5" max="5" width="10.33203125" style="11" customWidth="1"/>
    <col min="6" max="6" width="10.6640625" style="11" customWidth="1"/>
    <col min="7" max="8" width="9.109375" style="11"/>
    <col min="9" max="9" width="10.33203125" style="11" bestFit="1" customWidth="1"/>
    <col min="10" max="16384" width="9.109375" style="11"/>
  </cols>
  <sheetData>
    <row r="1" spans="1:12" ht="15.6">
      <c r="A1" s="488" t="s">
        <v>216</v>
      </c>
      <c r="B1" s="354"/>
      <c r="C1" s="354"/>
      <c r="D1" s="354"/>
      <c r="E1" s="354"/>
      <c r="F1" s="354"/>
      <c r="G1" s="354"/>
    </row>
    <row r="2" spans="1:12">
      <c r="A2" s="355"/>
      <c r="B2" s="355"/>
      <c r="C2" s="355"/>
      <c r="D2" s="355"/>
      <c r="E2" s="355"/>
      <c r="F2" s="355"/>
      <c r="G2" s="355"/>
    </row>
    <row r="3" spans="1:12">
      <c r="A3" s="11" t="s">
        <v>203</v>
      </c>
    </row>
    <row r="5" spans="1:12">
      <c r="A5" s="11" t="s">
        <v>171</v>
      </c>
    </row>
    <row r="6" spans="1:12">
      <c r="A6" s="11" t="s">
        <v>172</v>
      </c>
    </row>
    <row r="7" spans="1:12">
      <c r="H7" s="11" t="s">
        <v>251</v>
      </c>
    </row>
    <row r="8" spans="1:12">
      <c r="B8" s="508" t="s">
        <v>173</v>
      </c>
      <c r="C8" s="509"/>
      <c r="D8" s="308"/>
      <c r="E8" s="508" t="s">
        <v>174</v>
      </c>
      <c r="F8" s="509"/>
      <c r="H8" s="423"/>
      <c r="I8" s="424"/>
      <c r="J8" s="424"/>
      <c r="K8" s="424"/>
      <c r="L8" s="425"/>
    </row>
    <row r="9" spans="1:12">
      <c r="B9" s="312" t="s">
        <v>196</v>
      </c>
      <c r="C9" s="313" t="s">
        <v>57</v>
      </c>
      <c r="D9" s="356" t="s">
        <v>217</v>
      </c>
      <c r="E9" s="312" t="s">
        <v>177</v>
      </c>
      <c r="F9" s="313" t="s">
        <v>253</v>
      </c>
      <c r="H9" s="426"/>
      <c r="I9" s="357"/>
      <c r="J9" s="357"/>
      <c r="K9" s="357"/>
      <c r="L9" s="427"/>
    </row>
    <row r="10" spans="1:12" ht="14.1" customHeight="1">
      <c r="A10" s="11" t="s">
        <v>197</v>
      </c>
      <c r="B10" s="432">
        <f>D10/16</f>
        <v>38</v>
      </c>
      <c r="C10" s="363">
        <f>+B10/12</f>
        <v>3.1666666666666665</v>
      </c>
      <c r="D10" s="362">
        <v>608</v>
      </c>
      <c r="E10" s="433">
        <f>B10*25.4</f>
        <v>965.19999999999993</v>
      </c>
      <c r="F10" s="434">
        <f>+E10/1000</f>
        <v>0.96519999999999995</v>
      </c>
      <c r="H10" s="426"/>
      <c r="I10" s="357"/>
      <c r="J10" s="357"/>
      <c r="K10" s="357"/>
      <c r="L10" s="427"/>
    </row>
    <row r="11" spans="1:12" ht="14.1" customHeight="1">
      <c r="A11" s="11" t="s">
        <v>198</v>
      </c>
      <c r="B11" s="432">
        <f>D11/100</f>
        <v>96</v>
      </c>
      <c r="C11" s="363">
        <f>+B11/12</f>
        <v>8</v>
      </c>
      <c r="D11" s="362">
        <v>9600</v>
      </c>
      <c r="E11" s="433">
        <f>B11*25.4</f>
        <v>2438.3999999999996</v>
      </c>
      <c r="F11" s="434">
        <f>+E11/1000</f>
        <v>2.4383999999999997</v>
      </c>
      <c r="H11" s="426"/>
      <c r="I11" s="357"/>
      <c r="J11" s="357"/>
      <c r="K11" s="357"/>
      <c r="L11" s="427"/>
    </row>
    <row r="12" spans="1:12" ht="14.1" customHeight="1">
      <c r="A12" s="11" t="s">
        <v>199</v>
      </c>
      <c r="B12" s="432">
        <f>D12/16</f>
        <v>32</v>
      </c>
      <c r="C12" s="363">
        <f>+B12/12</f>
        <v>2.6666666666666665</v>
      </c>
      <c r="D12" s="362">
        <v>512</v>
      </c>
      <c r="E12" s="433">
        <f>B12*25.4</f>
        <v>812.8</v>
      </c>
      <c r="F12" s="434">
        <f>+E12/1000</f>
        <v>0.81279999999999997</v>
      </c>
      <c r="H12" s="426"/>
      <c r="I12" s="357"/>
      <c r="J12" s="357"/>
      <c r="K12" s="357"/>
      <c r="L12" s="427"/>
    </row>
    <row r="13" spans="1:12" ht="14.1" customHeight="1">
      <c r="A13" s="11" t="s">
        <v>200</v>
      </c>
      <c r="B13" s="432">
        <f>D13/16</f>
        <v>24</v>
      </c>
      <c r="C13" s="363">
        <f>+B13/12</f>
        <v>2</v>
      </c>
      <c r="D13" s="362">
        <v>384</v>
      </c>
      <c r="E13" s="433">
        <f>B13*25.4</f>
        <v>609.59999999999991</v>
      </c>
      <c r="F13" s="434">
        <f>+E13/1000</f>
        <v>0.60959999999999992</v>
      </c>
      <c r="H13" s="426"/>
      <c r="I13" s="357"/>
      <c r="J13" s="357"/>
      <c r="K13" s="357"/>
      <c r="L13" s="427"/>
    </row>
    <row r="14" spans="1:12" ht="14.1" customHeight="1">
      <c r="A14" s="11" t="s">
        <v>254</v>
      </c>
      <c r="B14" s="432">
        <f>D14/16</f>
        <v>1</v>
      </c>
      <c r="C14" s="363">
        <f>+B14/12</f>
        <v>8.3333333333333329E-2</v>
      </c>
      <c r="D14" s="362">
        <v>16</v>
      </c>
      <c r="E14" s="433">
        <f>B14*25.4</f>
        <v>25.4</v>
      </c>
      <c r="F14" s="434">
        <f>+E14/1000</f>
        <v>2.5399999999999999E-2</v>
      </c>
      <c r="H14" s="426"/>
      <c r="I14" s="357"/>
      <c r="J14" s="357"/>
      <c r="K14" s="357"/>
      <c r="L14" s="427"/>
    </row>
    <row r="15" spans="1:12" ht="15" customHeight="1">
      <c r="A15" s="512" t="s">
        <v>201</v>
      </c>
      <c r="B15" s="512"/>
      <c r="C15" s="513"/>
      <c r="D15" s="309">
        <f>0.5*344300/D36</f>
        <v>299.58105667479651</v>
      </c>
      <c r="E15" s="11" t="s">
        <v>182</v>
      </c>
      <c r="H15" s="426"/>
      <c r="I15" s="357"/>
      <c r="J15" s="357"/>
      <c r="K15" s="357"/>
      <c r="L15" s="427"/>
    </row>
    <row r="16" spans="1:12" ht="15" customHeight="1">
      <c r="A16" s="512" t="s">
        <v>202</v>
      </c>
      <c r="B16" s="512"/>
      <c r="C16" s="513"/>
      <c r="D16" s="309">
        <f>0.5*344300/B36</f>
        <v>395.96472453611688</v>
      </c>
      <c r="E16" s="11" t="s">
        <v>182</v>
      </c>
      <c r="H16" s="426"/>
      <c r="I16" s="357"/>
      <c r="J16" s="357"/>
      <c r="K16" s="357"/>
      <c r="L16" s="427"/>
    </row>
    <row r="17" spans="1:12" ht="15" customHeight="1">
      <c r="A17" s="510" t="s">
        <v>218</v>
      </c>
      <c r="B17" s="510"/>
      <c r="C17" s="511"/>
      <c r="D17" s="306">
        <f>SQRT(D16*D15)</f>
        <v>344.41766880123123</v>
      </c>
      <c r="E17" s="11" t="s">
        <v>182</v>
      </c>
      <c r="H17" s="426"/>
      <c r="I17" s="357"/>
      <c r="J17" s="357"/>
      <c r="K17" s="357"/>
      <c r="L17" s="427"/>
    </row>
    <row r="18" spans="1:12">
      <c r="B18" s="310"/>
      <c r="C18" s="310"/>
      <c r="H18" s="426"/>
      <c r="I18" s="435"/>
      <c r="J18" s="357"/>
      <c r="K18" s="357"/>
      <c r="L18" s="427"/>
    </row>
    <row r="19" spans="1:12">
      <c r="A19" s="11" t="s">
        <v>185</v>
      </c>
      <c r="H19" s="426"/>
      <c r="I19" s="357"/>
      <c r="J19" s="357"/>
      <c r="K19" s="357"/>
      <c r="L19" s="427"/>
    </row>
    <row r="20" spans="1:12">
      <c r="B20" s="311"/>
      <c r="C20" s="311"/>
      <c r="H20" s="426"/>
      <c r="I20" s="357"/>
      <c r="J20" s="357"/>
      <c r="K20" s="357"/>
      <c r="L20" s="427"/>
    </row>
    <row r="21" spans="1:12">
      <c r="B21" s="311"/>
      <c r="C21" s="311"/>
      <c r="H21" s="426"/>
      <c r="I21" s="357"/>
      <c r="J21" s="357"/>
      <c r="K21" s="357"/>
      <c r="L21" s="427"/>
    </row>
    <row r="22" spans="1:12">
      <c r="B22" s="311"/>
      <c r="C22" s="311"/>
      <c r="H22" s="426"/>
      <c r="I22" s="357"/>
      <c r="J22" s="357"/>
      <c r="K22" s="357"/>
      <c r="L22" s="427"/>
    </row>
    <row r="23" spans="1:12">
      <c r="B23" s="311"/>
      <c r="C23" s="311"/>
      <c r="H23" s="426"/>
      <c r="I23" s="357"/>
      <c r="J23" s="357"/>
      <c r="K23" s="357"/>
      <c r="L23" s="427"/>
    </row>
    <row r="24" spans="1:12">
      <c r="A24" s="11" t="s">
        <v>223</v>
      </c>
      <c r="B24" s="311"/>
      <c r="C24" s="311"/>
      <c r="H24" s="426"/>
      <c r="I24" s="357"/>
      <c r="J24" s="357"/>
      <c r="K24" s="357"/>
      <c r="L24" s="427"/>
    </row>
    <row r="25" spans="1:12">
      <c r="B25" s="311"/>
      <c r="C25" s="311"/>
      <c r="H25" s="429"/>
      <c r="I25" s="430"/>
      <c r="J25" s="430"/>
      <c r="K25" s="430"/>
      <c r="L25" s="431"/>
    </row>
    <row r="26" spans="1:12">
      <c r="B26" s="311"/>
      <c r="C26" s="311"/>
    </row>
    <row r="27" spans="1:12">
      <c r="B27" s="311"/>
      <c r="C27" s="311"/>
    </row>
    <row r="28" spans="1:12">
      <c r="B28" s="311"/>
      <c r="C28" s="311"/>
    </row>
    <row r="29" spans="1:12">
      <c r="B29" s="311"/>
      <c r="C29" s="311"/>
    </row>
    <row r="30" spans="1:12">
      <c r="A30" s="375" t="s">
        <v>186</v>
      </c>
      <c r="B30" s="422">
        <f>E10/E13</f>
        <v>1.5833333333333335</v>
      </c>
      <c r="C30" s="375"/>
      <c r="D30" s="422">
        <f>E10/E12</f>
        <v>1.1875</v>
      </c>
      <c r="E30" s="375"/>
    </row>
    <row r="31" spans="1:12">
      <c r="A31" s="375" t="s">
        <v>187</v>
      </c>
      <c r="B31" s="422">
        <f>B30*(E11+E14)/(B30+1)</f>
        <v>1510.0709677419352</v>
      </c>
      <c r="C31" s="375" t="s">
        <v>177</v>
      </c>
      <c r="D31" s="422">
        <f>D30*E11/(D30+1)</f>
        <v>1323.7028571428568</v>
      </c>
      <c r="E31" s="375" t="s">
        <v>177</v>
      </c>
    </row>
    <row r="32" spans="1:12">
      <c r="A32" s="375" t="s">
        <v>188</v>
      </c>
      <c r="B32" s="422">
        <f>SQRT(E10^2+B31^2)</f>
        <v>1792.1845238750011</v>
      </c>
      <c r="C32" s="375" t="s">
        <v>177</v>
      </c>
      <c r="D32" s="422">
        <f>SQRT(E10^2+D31^2)</f>
        <v>1638.2308427105634</v>
      </c>
      <c r="E32" s="375" t="s">
        <v>177</v>
      </c>
    </row>
    <row r="33" spans="1:5">
      <c r="A33" s="375" t="s">
        <v>189</v>
      </c>
      <c r="B33" s="422">
        <f>E11+E14-B31</f>
        <v>953.72903225806454</v>
      </c>
      <c r="C33" s="375" t="s">
        <v>177</v>
      </c>
      <c r="D33" s="422">
        <f>E11-D31</f>
        <v>1114.6971428571428</v>
      </c>
      <c r="E33" s="375" t="s">
        <v>177</v>
      </c>
    </row>
    <row r="34" spans="1:5">
      <c r="A34" s="375" t="s">
        <v>190</v>
      </c>
      <c r="B34" s="422">
        <f>SQRT(E13^2+B33^2)</f>
        <v>1131.9060150789483</v>
      </c>
      <c r="C34" s="375" t="s">
        <v>177</v>
      </c>
      <c r="D34" s="422">
        <f>SQRT(E12^2+D33^2)</f>
        <v>1379.5628149141587</v>
      </c>
      <c r="E34" s="375" t="s">
        <v>177</v>
      </c>
    </row>
    <row r="35" spans="1:5">
      <c r="A35" s="375" t="s">
        <v>191</v>
      </c>
      <c r="B35" s="422">
        <f>SQRT((E10-E13)^2+(E11+E14)^2)</f>
        <v>2489.3295884635281</v>
      </c>
      <c r="C35" s="375" t="s">
        <v>177</v>
      </c>
      <c r="D35" s="422">
        <f>SQRT((E10-E12)^2+E11^2)</f>
        <v>2443.1578581827248</v>
      </c>
      <c r="E35" s="375" t="s">
        <v>177</v>
      </c>
    </row>
    <row r="36" spans="1:5">
      <c r="A36" s="375" t="s">
        <v>192</v>
      </c>
      <c r="B36" s="422">
        <f>B34+B32-B35</f>
        <v>434.76095049042124</v>
      </c>
      <c r="C36" s="375" t="s">
        <v>177</v>
      </c>
      <c r="D36" s="422">
        <f>D34+D32-D35</f>
        <v>574.63579944199728</v>
      </c>
      <c r="E36" s="375" t="s">
        <v>177</v>
      </c>
    </row>
  </sheetData>
  <sheetProtection sheet="1" objects="1" scenarios="1"/>
  <mergeCells count="5">
    <mergeCell ref="E8:F8"/>
    <mergeCell ref="B8:C8"/>
    <mergeCell ref="A17:C17"/>
    <mergeCell ref="A15:C15"/>
    <mergeCell ref="A16:C16"/>
  </mergeCells>
  <phoneticPr fontId="61"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54"/>
  </sheetPr>
  <dimension ref="A1:M68"/>
  <sheetViews>
    <sheetView workbookViewId="0">
      <selection activeCell="D1" sqref="D1"/>
    </sheetView>
  </sheetViews>
  <sheetFormatPr defaultRowHeight="13.2"/>
  <cols>
    <col min="1" max="1" width="7.33203125" customWidth="1"/>
    <col min="2" max="5" width="13.6640625" customWidth="1"/>
    <col min="6" max="6" width="10.5546875" customWidth="1"/>
    <col min="7" max="10" width="13.6640625" customWidth="1"/>
  </cols>
  <sheetData>
    <row r="1" spans="1:13">
      <c r="A1" s="11"/>
      <c r="B1" s="11"/>
      <c r="C1" s="11"/>
      <c r="D1" s="11"/>
      <c r="E1" s="11"/>
      <c r="F1" s="11"/>
      <c r="G1" s="11"/>
      <c r="H1" s="11"/>
      <c r="I1" s="11"/>
      <c r="J1" s="11"/>
      <c r="K1" s="11"/>
      <c r="L1" s="11"/>
      <c r="M1" s="11"/>
    </row>
    <row r="2" spans="1:13">
      <c r="A2" s="11"/>
      <c r="B2" s="11"/>
      <c r="C2" s="11"/>
      <c r="D2" s="11"/>
      <c r="E2" s="11"/>
      <c r="F2" s="11"/>
      <c r="G2" s="11"/>
      <c r="H2" s="11"/>
      <c r="I2" s="11"/>
      <c r="J2" s="11"/>
      <c r="K2" s="11"/>
      <c r="L2" s="11"/>
      <c r="M2" s="11"/>
    </row>
    <row r="3" spans="1:13" s="166" customFormat="1" ht="19.5" customHeight="1">
      <c r="A3" s="20"/>
      <c r="B3" s="517" t="s">
        <v>125</v>
      </c>
      <c r="C3" s="518"/>
      <c r="D3" s="518"/>
      <c r="E3" s="519"/>
      <c r="F3" s="20"/>
      <c r="G3" s="517" t="s">
        <v>126</v>
      </c>
      <c r="H3" s="518"/>
      <c r="I3" s="518"/>
      <c r="J3" s="519"/>
      <c r="K3" s="20"/>
      <c r="L3" s="20"/>
      <c r="M3" s="20"/>
    </row>
    <row r="4" spans="1:13" ht="15.75" customHeight="1">
      <c r="A4" s="11"/>
      <c r="B4" s="520" t="s">
        <v>127</v>
      </c>
      <c r="C4" s="522" t="s">
        <v>128</v>
      </c>
      <c r="D4" s="523"/>
      <c r="E4" s="524"/>
      <c r="F4" s="11"/>
      <c r="G4" s="520" t="s">
        <v>127</v>
      </c>
      <c r="H4" s="522" t="s">
        <v>129</v>
      </c>
      <c r="I4" s="523"/>
      <c r="J4" s="524"/>
      <c r="K4" s="11"/>
      <c r="L4" s="11"/>
      <c r="M4" s="11"/>
    </row>
    <row r="5" spans="1:13" ht="15.75" customHeight="1">
      <c r="A5" s="11"/>
      <c r="B5" s="521"/>
      <c r="C5" s="164" t="s">
        <v>130</v>
      </c>
      <c r="D5" s="164" t="s">
        <v>131</v>
      </c>
      <c r="E5" s="164" t="s">
        <v>132</v>
      </c>
      <c r="F5" s="11"/>
      <c r="G5" s="521"/>
      <c r="H5" s="164" t="s">
        <v>130</v>
      </c>
      <c r="I5" s="164" t="s">
        <v>131</v>
      </c>
      <c r="J5" s="164" t="s">
        <v>132</v>
      </c>
      <c r="K5" s="11"/>
      <c r="L5" s="11"/>
      <c r="M5" s="11"/>
    </row>
    <row r="6" spans="1:13" s="166" customFormat="1" ht="15" customHeight="1">
      <c r="A6" s="20"/>
      <c r="B6" s="240">
        <v>80</v>
      </c>
      <c r="C6" s="165">
        <v>15.92</v>
      </c>
      <c r="D6" s="165">
        <v>7.96</v>
      </c>
      <c r="E6" s="165">
        <v>3.98</v>
      </c>
      <c r="F6" s="20"/>
      <c r="G6" s="240">
        <v>80</v>
      </c>
      <c r="H6" s="165">
        <v>248.44</v>
      </c>
      <c r="I6" s="165">
        <v>496.88</v>
      </c>
      <c r="J6" s="165">
        <v>993.75</v>
      </c>
      <c r="K6" s="20"/>
      <c r="L6" s="20"/>
      <c r="M6" s="20"/>
    </row>
    <row r="7" spans="1:13" s="166" customFormat="1" ht="15" customHeight="1">
      <c r="A7" s="20"/>
      <c r="B7" s="240">
        <v>100</v>
      </c>
      <c r="C7" s="165">
        <v>12.73</v>
      </c>
      <c r="D7" s="165">
        <v>6.37</v>
      </c>
      <c r="E7" s="165">
        <v>3.18</v>
      </c>
      <c r="F7" s="20"/>
      <c r="G7" s="240">
        <v>100</v>
      </c>
      <c r="H7" s="165">
        <v>198.75</v>
      </c>
      <c r="I7" s="165">
        <v>397.5</v>
      </c>
      <c r="J7" s="165">
        <v>795</v>
      </c>
      <c r="K7" s="20"/>
      <c r="L7" s="20"/>
      <c r="M7" s="20"/>
    </row>
    <row r="8" spans="1:13" s="166" customFormat="1" ht="15" customHeight="1">
      <c r="A8" s="20"/>
      <c r="B8" s="240">
        <v>120</v>
      </c>
      <c r="C8" s="165">
        <v>10.61</v>
      </c>
      <c r="D8" s="165">
        <v>5.31</v>
      </c>
      <c r="E8" s="165">
        <v>2.65</v>
      </c>
      <c r="F8" s="20"/>
      <c r="G8" s="240">
        <v>120</v>
      </c>
      <c r="H8" s="165">
        <v>165.63</v>
      </c>
      <c r="I8" s="165">
        <v>331.25</v>
      </c>
      <c r="J8" s="165">
        <v>662.5</v>
      </c>
      <c r="K8" s="20"/>
      <c r="L8" s="20"/>
      <c r="M8" s="20"/>
    </row>
    <row r="9" spans="1:13" s="166" customFormat="1" ht="15" customHeight="1">
      <c r="A9" s="20"/>
      <c r="B9" s="240">
        <v>150</v>
      </c>
      <c r="C9" s="165">
        <v>8.49</v>
      </c>
      <c r="D9" s="165">
        <v>4.24</v>
      </c>
      <c r="E9" s="165">
        <v>2.12</v>
      </c>
      <c r="F9" s="20"/>
      <c r="G9" s="240">
        <v>150</v>
      </c>
      <c r="H9" s="165">
        <v>132.5</v>
      </c>
      <c r="I9" s="165">
        <v>265</v>
      </c>
      <c r="J9" s="165">
        <v>530</v>
      </c>
      <c r="K9" s="20"/>
      <c r="L9" s="20"/>
      <c r="M9" s="20"/>
    </row>
    <row r="10" spans="1:13" s="166" customFormat="1" ht="15" customHeight="1">
      <c r="A10" s="20"/>
      <c r="B10" s="240">
        <v>200</v>
      </c>
      <c r="C10" s="165">
        <v>6.37</v>
      </c>
      <c r="D10" s="165">
        <v>3.18</v>
      </c>
      <c r="E10" s="165">
        <v>1.59</v>
      </c>
      <c r="F10" s="20"/>
      <c r="G10" s="240">
        <v>200</v>
      </c>
      <c r="H10" s="165">
        <v>99.38</v>
      </c>
      <c r="I10" s="165">
        <v>198.75</v>
      </c>
      <c r="J10" s="165">
        <v>397.5</v>
      </c>
      <c r="K10" s="20"/>
      <c r="L10" s="20"/>
      <c r="M10" s="20"/>
    </row>
    <row r="11" spans="1:13" s="166" customFormat="1" ht="15" customHeight="1">
      <c r="A11" s="20"/>
      <c r="B11" s="240">
        <v>280</v>
      </c>
      <c r="C11" s="165">
        <v>4.55</v>
      </c>
      <c r="D11" s="165">
        <v>2.2400000000000002</v>
      </c>
      <c r="E11" s="165">
        <v>1.1399999999999999</v>
      </c>
      <c r="F11" s="20"/>
      <c r="G11" s="240">
        <v>280</v>
      </c>
      <c r="H11" s="165">
        <v>70.98</v>
      </c>
      <c r="I11" s="165">
        <v>141.96</v>
      </c>
      <c r="J11" s="165">
        <v>283.93</v>
      </c>
      <c r="K11" s="20"/>
      <c r="L11" s="20"/>
      <c r="M11" s="20"/>
    </row>
    <row r="12" spans="1:13" s="166" customFormat="1" ht="15" customHeight="1">
      <c r="A12" s="20"/>
      <c r="B12" s="240">
        <v>400</v>
      </c>
      <c r="C12" s="165">
        <v>3.18</v>
      </c>
      <c r="D12" s="165">
        <v>1.59</v>
      </c>
      <c r="E12" s="165">
        <v>0.8</v>
      </c>
      <c r="F12" s="20"/>
      <c r="G12" s="240">
        <v>400</v>
      </c>
      <c r="H12" s="165">
        <v>49.69</v>
      </c>
      <c r="I12" s="165">
        <v>99.38</v>
      </c>
      <c r="J12" s="165">
        <v>198.75</v>
      </c>
      <c r="K12" s="20"/>
      <c r="L12" s="20"/>
      <c r="M12" s="20"/>
    </row>
    <row r="13" spans="1:13" s="166" customFormat="1" ht="15" customHeight="1">
      <c r="A13" s="20"/>
      <c r="B13" s="240">
        <v>600</v>
      </c>
      <c r="C13" s="165">
        <v>2.12</v>
      </c>
      <c r="D13" s="165">
        <v>1.06</v>
      </c>
      <c r="E13" s="165">
        <v>0.53</v>
      </c>
      <c r="F13" s="20"/>
      <c r="G13" s="240">
        <v>600</v>
      </c>
      <c r="H13" s="165">
        <v>33.130000000000003</v>
      </c>
      <c r="I13" s="165">
        <v>66.25</v>
      </c>
      <c r="J13" s="165">
        <v>132.5</v>
      </c>
      <c r="K13" s="20"/>
      <c r="L13" s="20"/>
      <c r="M13" s="20"/>
    </row>
    <row r="14" spans="1:13" s="166" customFormat="1" ht="15" customHeight="1">
      <c r="A14" s="20"/>
      <c r="B14" s="240">
        <v>800</v>
      </c>
      <c r="C14" s="165">
        <v>1.59</v>
      </c>
      <c r="D14" s="165">
        <v>0.8</v>
      </c>
      <c r="E14" s="165">
        <v>0.4</v>
      </c>
      <c r="F14" s="20"/>
      <c r="G14" s="240">
        <v>800</v>
      </c>
      <c r="H14" s="165">
        <v>24.84</v>
      </c>
      <c r="I14" s="165">
        <v>49.69</v>
      </c>
      <c r="J14" s="165">
        <v>99.38</v>
      </c>
      <c r="K14" s="20"/>
      <c r="L14" s="20"/>
      <c r="M14" s="20"/>
    </row>
    <row r="15" spans="1:13" s="166" customFormat="1" ht="15" customHeight="1">
      <c r="A15" s="20"/>
      <c r="B15" s="240">
        <v>1000</v>
      </c>
      <c r="C15" s="165">
        <v>1.27</v>
      </c>
      <c r="D15" s="165">
        <v>0.64</v>
      </c>
      <c r="E15" s="165">
        <v>0.32</v>
      </c>
      <c r="F15" s="20"/>
      <c r="G15" s="240">
        <v>1000</v>
      </c>
      <c r="H15" s="165">
        <v>19.88</v>
      </c>
      <c r="I15" s="165">
        <v>39.75</v>
      </c>
      <c r="J15" s="165">
        <v>79.5</v>
      </c>
      <c r="K15" s="20"/>
      <c r="L15" s="20"/>
      <c r="M15" s="20"/>
    </row>
    <row r="16" spans="1:13" s="166" customFormat="1" ht="15" customHeight="1">
      <c r="A16" s="20"/>
      <c r="B16" s="240">
        <v>1200</v>
      </c>
      <c r="C16" s="165">
        <v>1.06</v>
      </c>
      <c r="D16" s="165">
        <v>0.53</v>
      </c>
      <c r="E16" s="165">
        <v>0.27</v>
      </c>
      <c r="F16" s="20"/>
      <c r="G16" s="240">
        <v>1200</v>
      </c>
      <c r="H16" s="165">
        <v>16.559999999999999</v>
      </c>
      <c r="I16" s="165">
        <v>33.130000000000003</v>
      </c>
      <c r="J16" s="165">
        <v>66.25</v>
      </c>
      <c r="K16" s="20"/>
      <c r="L16" s="20"/>
      <c r="M16" s="20"/>
    </row>
    <row r="17" spans="1:13" s="166" customFormat="1" ht="15" customHeight="1">
      <c r="A17" s="20"/>
      <c r="B17" s="240">
        <v>2000</v>
      </c>
      <c r="C17" s="165">
        <v>0.64</v>
      </c>
      <c r="D17" s="165">
        <v>0.32</v>
      </c>
      <c r="E17" s="165">
        <v>0.16</v>
      </c>
      <c r="F17" s="20"/>
      <c r="G17" s="240">
        <v>2000</v>
      </c>
      <c r="H17" s="165">
        <v>9.94</v>
      </c>
      <c r="I17" s="165">
        <v>19.88</v>
      </c>
      <c r="J17" s="165">
        <v>39.75</v>
      </c>
      <c r="K17" s="20"/>
      <c r="L17" s="20"/>
      <c r="M17" s="20"/>
    </row>
    <row r="18" spans="1:13" s="166" customFormat="1" ht="15" customHeight="1">
      <c r="A18" s="20"/>
      <c r="B18" s="240">
        <v>4000</v>
      </c>
      <c r="C18" s="165">
        <v>0.32</v>
      </c>
      <c r="D18" s="165">
        <v>0.16</v>
      </c>
      <c r="E18" s="165">
        <v>0.08</v>
      </c>
      <c r="F18" s="20"/>
      <c r="G18" s="240">
        <v>4000</v>
      </c>
      <c r="H18" s="165">
        <v>4.97</v>
      </c>
      <c r="I18" s="165">
        <v>9.94</v>
      </c>
      <c r="J18" s="165">
        <v>19.88</v>
      </c>
      <c r="K18" s="20"/>
      <c r="L18" s="20"/>
      <c r="M18" s="20"/>
    </row>
    <row r="19" spans="1:13" s="166" customFormat="1" ht="15" customHeight="1">
      <c r="A19" s="20"/>
      <c r="B19" s="240">
        <v>5000</v>
      </c>
      <c r="C19" s="165">
        <v>0.25</v>
      </c>
      <c r="D19" s="165">
        <v>0.13</v>
      </c>
      <c r="E19" s="165">
        <v>0.06</v>
      </c>
      <c r="F19" s="20"/>
      <c r="G19" s="240">
        <v>5000</v>
      </c>
      <c r="H19" s="165">
        <v>3.98</v>
      </c>
      <c r="I19" s="165">
        <v>7.95</v>
      </c>
      <c r="J19" s="165">
        <v>15.9</v>
      </c>
      <c r="K19" s="20"/>
      <c r="L19" s="20"/>
      <c r="M19" s="20"/>
    </row>
    <row r="20" spans="1:13" s="166" customFormat="1" ht="15" customHeight="1">
      <c r="A20" s="20"/>
      <c r="B20" s="240">
        <v>6000</v>
      </c>
      <c r="C20" s="165">
        <v>0.21</v>
      </c>
      <c r="D20" s="165">
        <v>0.11</v>
      </c>
      <c r="E20" s="165">
        <v>0.05</v>
      </c>
      <c r="F20" s="20"/>
      <c r="G20" s="240">
        <v>6000</v>
      </c>
      <c r="H20" s="165">
        <v>3.31</v>
      </c>
      <c r="I20" s="165">
        <v>6.63</v>
      </c>
      <c r="J20" s="165">
        <v>13.25</v>
      </c>
      <c r="K20" s="20"/>
      <c r="L20" s="20"/>
      <c r="M20" s="20"/>
    </row>
    <row r="21" spans="1:13" s="166" customFormat="1" ht="15" customHeight="1">
      <c r="A21" s="20"/>
      <c r="B21" s="240">
        <v>8000</v>
      </c>
      <c r="C21" s="165">
        <v>0.16</v>
      </c>
      <c r="D21" s="165">
        <v>0.08</v>
      </c>
      <c r="E21" s="165">
        <v>0.04</v>
      </c>
      <c r="F21" s="20"/>
      <c r="G21" s="240">
        <v>8000</v>
      </c>
      <c r="H21" s="165">
        <v>2.48</v>
      </c>
      <c r="I21" s="165">
        <v>4.97</v>
      </c>
      <c r="J21" s="165">
        <v>9.94</v>
      </c>
      <c r="K21" s="20"/>
      <c r="L21" s="20"/>
      <c r="M21" s="20"/>
    </row>
    <row r="22" spans="1:13" s="166" customFormat="1" ht="15" customHeight="1">
      <c r="A22" s="20"/>
      <c r="B22" s="240">
        <v>10000</v>
      </c>
      <c r="C22" s="165">
        <v>0.13</v>
      </c>
      <c r="D22" s="165">
        <v>0.06</v>
      </c>
      <c r="E22" s="165">
        <v>0.03</v>
      </c>
      <c r="F22" s="20"/>
      <c r="G22" s="240">
        <v>10000</v>
      </c>
      <c r="H22" s="165">
        <v>1.99</v>
      </c>
      <c r="I22" s="165">
        <v>3.98</v>
      </c>
      <c r="J22" s="165">
        <v>7.95</v>
      </c>
      <c r="K22" s="20"/>
      <c r="L22" s="20"/>
      <c r="M22" s="20"/>
    </row>
    <row r="23" spans="1:13" s="166" customFormat="1" ht="15" customHeight="1">
      <c r="A23" s="20"/>
      <c r="B23" s="240">
        <v>12000</v>
      </c>
      <c r="C23" s="165">
        <v>0.11</v>
      </c>
      <c r="D23" s="165">
        <v>0.05</v>
      </c>
      <c r="E23" s="165">
        <v>0.03</v>
      </c>
      <c r="F23" s="20"/>
      <c r="G23" s="240">
        <v>12000</v>
      </c>
      <c r="H23" s="165">
        <v>1.66</v>
      </c>
      <c r="I23" s="165">
        <v>3.31</v>
      </c>
      <c r="J23" s="165">
        <v>6.63</v>
      </c>
      <c r="K23" s="20"/>
      <c r="L23" s="20"/>
      <c r="M23" s="20"/>
    </row>
    <row r="24" spans="1:13">
      <c r="A24" s="11"/>
      <c r="B24" s="514"/>
      <c r="C24" s="514"/>
      <c r="D24" s="514"/>
      <c r="E24" s="514"/>
      <c r="F24" s="11"/>
      <c r="G24" s="514"/>
      <c r="H24" s="514"/>
      <c r="I24" s="514"/>
      <c r="J24" s="514"/>
      <c r="K24" s="11"/>
      <c r="L24" s="11"/>
      <c r="M24" s="11"/>
    </row>
    <row r="25" spans="1:13">
      <c r="A25" s="11"/>
      <c r="B25" s="515" t="s">
        <v>156</v>
      </c>
      <c r="C25" s="515"/>
      <c r="D25" s="515"/>
      <c r="E25" s="515"/>
      <c r="F25" s="516"/>
      <c r="G25" s="516"/>
      <c r="H25" s="516"/>
      <c r="I25" s="516"/>
      <c r="J25" s="516"/>
      <c r="K25" s="11"/>
      <c r="L25" s="11"/>
      <c r="M25" s="11"/>
    </row>
    <row r="26" spans="1:13">
      <c r="A26" s="11"/>
      <c r="B26" s="11"/>
      <c r="C26" s="11"/>
      <c r="D26" s="11"/>
      <c r="E26" s="11"/>
      <c r="F26" s="11"/>
      <c r="G26" s="11"/>
      <c r="H26" s="11"/>
      <c r="I26" s="11"/>
      <c r="J26" s="11"/>
      <c r="K26" s="11"/>
      <c r="L26" s="11"/>
      <c r="M26" s="11"/>
    </row>
    <row r="27" spans="1:13">
      <c r="A27" s="11"/>
      <c r="B27" s="11"/>
      <c r="C27" s="11"/>
      <c r="D27" s="11"/>
      <c r="E27" s="11"/>
      <c r="F27" s="11"/>
      <c r="G27" s="11"/>
      <c r="H27" s="11"/>
      <c r="I27" s="11"/>
      <c r="J27" s="11"/>
      <c r="K27" s="11"/>
      <c r="L27" s="11"/>
      <c r="M27" s="11"/>
    </row>
    <row r="28" spans="1:13">
      <c r="A28" s="11"/>
      <c r="B28" s="11"/>
      <c r="C28" s="11"/>
      <c r="D28" s="11"/>
      <c r="E28" s="11"/>
      <c r="F28" s="11"/>
      <c r="G28" s="11"/>
      <c r="H28" s="11"/>
      <c r="I28" s="11"/>
      <c r="J28" s="11"/>
      <c r="K28" s="11"/>
      <c r="L28" s="11"/>
      <c r="M28" s="11"/>
    </row>
    <row r="29" spans="1:13">
      <c r="A29" s="11"/>
      <c r="B29" s="11"/>
      <c r="C29" s="11"/>
      <c r="D29" s="11"/>
      <c r="E29" s="11"/>
      <c r="F29" s="11"/>
      <c r="G29" s="11"/>
      <c r="H29" s="11"/>
      <c r="I29" s="11"/>
      <c r="J29" s="11"/>
      <c r="K29" s="11"/>
      <c r="L29" s="11"/>
      <c r="M29" s="11"/>
    </row>
    <row r="30" spans="1:13">
      <c r="A30" s="11"/>
      <c r="B30" s="11"/>
      <c r="C30" s="11"/>
      <c r="D30" s="11"/>
      <c r="E30" s="11"/>
      <c r="F30" s="11"/>
      <c r="G30" s="11"/>
      <c r="H30" s="11"/>
      <c r="I30" s="11"/>
      <c r="J30" s="11"/>
      <c r="K30" s="11"/>
      <c r="L30" s="11"/>
      <c r="M30" s="11"/>
    </row>
    <row r="31" spans="1:13">
      <c r="A31" s="11"/>
      <c r="B31" s="11"/>
      <c r="C31" s="11"/>
      <c r="D31" s="11"/>
      <c r="E31" s="11"/>
      <c r="F31" s="11"/>
      <c r="G31" s="11"/>
      <c r="H31" s="11"/>
      <c r="I31" s="11"/>
      <c r="J31" s="11"/>
      <c r="K31" s="11"/>
      <c r="L31" s="11"/>
      <c r="M31" s="11"/>
    </row>
    <row r="32" spans="1:13">
      <c r="A32" s="11"/>
      <c r="B32" s="11"/>
      <c r="C32" s="11"/>
      <c r="D32" s="11"/>
      <c r="E32" s="11"/>
      <c r="F32" s="11"/>
      <c r="G32" s="11"/>
      <c r="H32" s="11"/>
      <c r="I32" s="11"/>
      <c r="J32" s="11"/>
      <c r="K32" s="11"/>
      <c r="L32" s="11"/>
      <c r="M32" s="11"/>
    </row>
    <row r="33" spans="1:13">
      <c r="A33" s="11"/>
      <c r="B33" s="11"/>
      <c r="C33" s="11"/>
      <c r="D33" s="11"/>
      <c r="E33" s="11"/>
      <c r="F33" s="11"/>
      <c r="G33" s="11"/>
      <c r="H33" s="11"/>
      <c r="I33" s="11"/>
      <c r="J33" s="11"/>
      <c r="K33" s="11"/>
      <c r="L33" s="11"/>
      <c r="M33" s="11"/>
    </row>
    <row r="34" spans="1:13">
      <c r="A34" s="11"/>
      <c r="B34" s="11"/>
      <c r="C34" s="11"/>
      <c r="D34" s="11"/>
      <c r="E34" s="11"/>
      <c r="F34" s="11"/>
      <c r="G34" s="11"/>
      <c r="H34" s="11"/>
      <c r="I34" s="11"/>
      <c r="J34" s="11"/>
      <c r="K34" s="11"/>
      <c r="L34" s="11"/>
      <c r="M34" s="11"/>
    </row>
    <row r="35" spans="1:13">
      <c r="A35" s="11"/>
      <c r="B35" s="11"/>
      <c r="C35" s="11"/>
      <c r="D35" s="11"/>
      <c r="E35" s="11"/>
      <c r="F35" s="11"/>
      <c r="G35" s="11"/>
      <c r="H35" s="11"/>
      <c r="I35" s="11"/>
      <c r="J35" s="11"/>
      <c r="K35" s="11"/>
      <c r="L35" s="11"/>
      <c r="M35" s="11"/>
    </row>
    <row r="36" spans="1:13">
      <c r="A36" s="11"/>
      <c r="B36" s="11"/>
      <c r="C36" s="11"/>
      <c r="D36" s="11"/>
      <c r="E36" s="11"/>
      <c r="F36" s="11"/>
      <c r="G36" s="11"/>
      <c r="H36" s="11"/>
      <c r="I36" s="11"/>
      <c r="J36" s="11"/>
      <c r="K36" s="11"/>
      <c r="L36" s="11"/>
      <c r="M36" s="11"/>
    </row>
    <row r="37" spans="1:13">
      <c r="A37" s="11"/>
      <c r="B37" s="11"/>
      <c r="C37" s="11"/>
      <c r="D37" s="11"/>
      <c r="E37" s="11"/>
      <c r="F37" s="11"/>
      <c r="G37" s="11"/>
      <c r="H37" s="11"/>
      <c r="I37" s="11"/>
      <c r="J37" s="11"/>
      <c r="K37" s="11"/>
      <c r="L37" s="11"/>
      <c r="M37" s="11"/>
    </row>
    <row r="38" spans="1:13">
      <c r="A38" s="11"/>
      <c r="B38" s="11"/>
      <c r="C38" s="11"/>
      <c r="D38" s="11"/>
      <c r="E38" s="11"/>
      <c r="F38" s="11"/>
      <c r="G38" s="11"/>
      <c r="H38" s="11"/>
      <c r="I38" s="11"/>
      <c r="J38" s="11"/>
      <c r="K38" s="11"/>
      <c r="L38" s="11"/>
      <c r="M38" s="11"/>
    </row>
    <row r="39" spans="1:13">
      <c r="A39" s="11"/>
      <c r="B39" s="11"/>
      <c r="C39" s="11"/>
      <c r="D39" s="11"/>
      <c r="E39" s="11"/>
      <c r="F39" s="11"/>
      <c r="G39" s="11"/>
      <c r="H39" s="11"/>
      <c r="I39" s="11"/>
      <c r="J39" s="11"/>
      <c r="K39" s="11"/>
      <c r="L39" s="11"/>
      <c r="M39" s="11"/>
    </row>
    <row r="40" spans="1:13">
      <c r="A40" s="11"/>
      <c r="B40" s="11"/>
      <c r="C40" s="11"/>
      <c r="D40" s="11"/>
      <c r="E40" s="11"/>
      <c r="F40" s="11"/>
      <c r="G40" s="11"/>
      <c r="H40" s="11"/>
      <c r="I40" s="11"/>
      <c r="J40" s="11"/>
      <c r="K40" s="11"/>
      <c r="L40" s="11"/>
      <c r="M40" s="11"/>
    </row>
    <row r="41" spans="1:13">
      <c r="A41" s="11"/>
      <c r="B41" s="11"/>
      <c r="C41" s="11"/>
      <c r="D41" s="11"/>
      <c r="E41" s="11"/>
      <c r="F41" s="11"/>
      <c r="G41" s="11"/>
      <c r="H41" s="11"/>
      <c r="I41" s="11"/>
      <c r="J41" s="11"/>
      <c r="K41" s="11"/>
      <c r="L41" s="11"/>
      <c r="M41" s="11"/>
    </row>
    <row r="42" spans="1:13">
      <c r="A42" s="11"/>
      <c r="B42" s="11"/>
      <c r="C42" s="11"/>
      <c r="D42" s="11"/>
      <c r="E42" s="11"/>
      <c r="F42" s="11"/>
      <c r="G42" s="11"/>
      <c r="H42" s="11"/>
      <c r="I42" s="11"/>
      <c r="J42" s="11"/>
      <c r="K42" s="11"/>
      <c r="L42" s="11"/>
      <c r="M42" s="11"/>
    </row>
    <row r="43" spans="1:13">
      <c r="A43" s="11"/>
      <c r="B43" s="11"/>
      <c r="C43" s="11"/>
      <c r="D43" s="11"/>
      <c r="E43" s="11"/>
      <c r="F43" s="11"/>
      <c r="G43" s="11"/>
      <c r="H43" s="11"/>
      <c r="I43" s="11"/>
      <c r="J43" s="11"/>
      <c r="K43" s="11"/>
      <c r="L43" s="11"/>
      <c r="M43" s="11"/>
    </row>
    <row r="44" spans="1:13">
      <c r="A44" s="11"/>
      <c r="B44" s="11"/>
      <c r="C44" s="11"/>
      <c r="D44" s="11"/>
      <c r="E44" s="11"/>
      <c r="F44" s="11"/>
      <c r="G44" s="11"/>
      <c r="H44" s="11"/>
      <c r="I44" s="11"/>
      <c r="J44" s="11"/>
      <c r="K44" s="11"/>
      <c r="L44" s="11"/>
      <c r="M44" s="11"/>
    </row>
    <row r="45" spans="1:13">
      <c r="A45" s="11"/>
      <c r="B45" s="11"/>
      <c r="C45" s="11"/>
      <c r="D45" s="11"/>
      <c r="E45" s="11"/>
      <c r="F45" s="11"/>
      <c r="G45" s="11"/>
      <c r="H45" s="11"/>
      <c r="I45" s="11"/>
      <c r="J45" s="11"/>
      <c r="K45" s="11"/>
      <c r="L45" s="11"/>
      <c r="M45" s="11"/>
    </row>
    <row r="46" spans="1:13">
      <c r="A46" s="11"/>
      <c r="B46" s="11"/>
      <c r="C46" s="11"/>
      <c r="D46" s="11"/>
      <c r="E46" s="11"/>
      <c r="F46" s="11"/>
      <c r="G46" s="11"/>
      <c r="H46" s="11"/>
      <c r="I46" s="11"/>
      <c r="J46" s="11"/>
      <c r="K46" s="11"/>
      <c r="L46" s="11"/>
      <c r="M46" s="11"/>
    </row>
    <row r="47" spans="1:13">
      <c r="A47" s="11"/>
      <c r="B47" s="11"/>
      <c r="C47" s="11"/>
      <c r="D47" s="11"/>
      <c r="E47" s="11"/>
      <c r="F47" s="11"/>
      <c r="G47" s="11"/>
      <c r="H47" s="11"/>
      <c r="I47" s="11"/>
      <c r="J47" s="11"/>
      <c r="K47" s="11"/>
      <c r="L47" s="11"/>
      <c r="M47" s="11"/>
    </row>
    <row r="48" spans="1:13">
      <c r="A48" s="11"/>
      <c r="B48" s="11"/>
      <c r="C48" s="11"/>
      <c r="D48" s="11"/>
      <c r="E48" s="11"/>
      <c r="F48" s="11"/>
      <c r="G48" s="11"/>
      <c r="H48" s="11"/>
      <c r="I48" s="11"/>
      <c r="J48" s="11"/>
      <c r="K48" s="11"/>
      <c r="L48" s="11"/>
      <c r="M48" s="11"/>
    </row>
    <row r="49" spans="1:13">
      <c r="A49" s="11"/>
      <c r="B49" s="11"/>
      <c r="C49" s="11"/>
      <c r="D49" s="11"/>
      <c r="E49" s="11"/>
      <c r="F49" s="11"/>
      <c r="G49" s="11"/>
      <c r="H49" s="11"/>
      <c r="I49" s="11"/>
      <c r="J49" s="11"/>
      <c r="K49" s="11"/>
      <c r="L49" s="11"/>
      <c r="M49" s="11"/>
    </row>
    <row r="50" spans="1:13">
      <c r="A50" s="11"/>
      <c r="B50" s="11"/>
      <c r="C50" s="11"/>
      <c r="D50" s="11"/>
      <c r="E50" s="11"/>
      <c r="F50" s="11"/>
      <c r="G50" s="11"/>
      <c r="H50" s="11"/>
      <c r="I50" s="11"/>
      <c r="J50" s="11"/>
      <c r="K50" s="11"/>
      <c r="L50" s="11"/>
      <c r="M50" s="11"/>
    </row>
    <row r="51" spans="1:13">
      <c r="A51" s="11"/>
      <c r="B51" s="11"/>
      <c r="C51" s="11"/>
      <c r="D51" s="11"/>
      <c r="E51" s="11"/>
      <c r="F51" s="11"/>
      <c r="G51" s="11"/>
      <c r="H51" s="11"/>
      <c r="I51" s="11"/>
      <c r="J51" s="11"/>
      <c r="K51" s="11"/>
      <c r="L51" s="11"/>
      <c r="M51" s="11"/>
    </row>
    <row r="52" spans="1:13">
      <c r="A52" s="11"/>
      <c r="B52" s="11"/>
      <c r="C52" s="11"/>
      <c r="D52" s="11"/>
      <c r="E52" s="11"/>
      <c r="F52" s="11"/>
      <c r="G52" s="11"/>
      <c r="H52" s="11"/>
      <c r="I52" s="11"/>
      <c r="J52" s="11"/>
      <c r="K52" s="11"/>
      <c r="L52" s="11"/>
      <c r="M52" s="11"/>
    </row>
    <row r="53" spans="1:13">
      <c r="A53" s="11"/>
      <c r="B53" s="11"/>
      <c r="C53" s="11"/>
      <c r="D53" s="11"/>
      <c r="E53" s="11"/>
      <c r="F53" s="11"/>
      <c r="G53" s="11"/>
      <c r="H53" s="11"/>
      <c r="I53" s="11"/>
      <c r="J53" s="11"/>
      <c r="K53" s="11"/>
      <c r="L53" s="11"/>
      <c r="M53" s="11"/>
    </row>
    <row r="54" spans="1:13">
      <c r="A54" s="11"/>
      <c r="B54" s="11"/>
      <c r="C54" s="11"/>
      <c r="D54" s="11"/>
      <c r="E54" s="11"/>
      <c r="F54" s="11"/>
      <c r="G54" s="11"/>
      <c r="H54" s="11"/>
      <c r="I54" s="11"/>
      <c r="J54" s="11"/>
      <c r="K54" s="11"/>
      <c r="L54" s="11"/>
      <c r="M54" s="11"/>
    </row>
    <row r="55" spans="1:13">
      <c r="A55" s="11"/>
      <c r="B55" s="11"/>
      <c r="C55" s="11"/>
      <c r="D55" s="11"/>
      <c r="E55" s="11"/>
      <c r="F55" s="11"/>
      <c r="G55" s="11"/>
      <c r="H55" s="11"/>
      <c r="I55" s="11"/>
      <c r="J55" s="11"/>
      <c r="K55" s="11"/>
      <c r="L55" s="11"/>
      <c r="M55" s="11"/>
    </row>
    <row r="56" spans="1:13">
      <c r="A56" s="11"/>
      <c r="B56" s="11"/>
      <c r="C56" s="11"/>
      <c r="D56" s="11"/>
      <c r="E56" s="11"/>
      <c r="F56" s="11"/>
      <c r="G56" s="11"/>
      <c r="H56" s="11"/>
      <c r="I56" s="11"/>
      <c r="J56" s="11"/>
      <c r="K56" s="11"/>
      <c r="L56" s="11"/>
      <c r="M56" s="11"/>
    </row>
    <row r="57" spans="1:13">
      <c r="A57" s="11"/>
      <c r="B57" s="11"/>
      <c r="C57" s="11"/>
      <c r="D57" s="11"/>
      <c r="E57" s="11"/>
      <c r="F57" s="11"/>
      <c r="G57" s="11"/>
      <c r="H57" s="11"/>
      <c r="I57" s="11"/>
      <c r="J57" s="11"/>
      <c r="K57" s="11"/>
      <c r="L57" s="11"/>
      <c r="M57" s="11"/>
    </row>
    <row r="58" spans="1:13">
      <c r="A58" s="11"/>
      <c r="B58" s="11"/>
      <c r="C58" s="11"/>
      <c r="D58" s="11"/>
      <c r="E58" s="11"/>
      <c r="F58" s="11"/>
      <c r="G58" s="11"/>
      <c r="H58" s="11"/>
      <c r="I58" s="11"/>
      <c r="J58" s="11"/>
      <c r="K58" s="11"/>
      <c r="L58" s="11"/>
      <c r="M58" s="11"/>
    </row>
    <row r="59" spans="1:13">
      <c r="A59" s="11"/>
      <c r="B59" s="11"/>
      <c r="C59" s="11"/>
      <c r="D59" s="11"/>
      <c r="E59" s="11"/>
      <c r="F59" s="11"/>
      <c r="G59" s="11"/>
      <c r="H59" s="11"/>
      <c r="I59" s="11"/>
      <c r="J59" s="11"/>
      <c r="K59" s="11"/>
      <c r="L59" s="11"/>
      <c r="M59" s="11"/>
    </row>
    <row r="60" spans="1:13">
      <c r="A60" s="11"/>
      <c r="B60" s="11"/>
      <c r="C60" s="11"/>
      <c r="D60" s="11"/>
      <c r="E60" s="11"/>
      <c r="F60" s="11"/>
      <c r="G60" s="11"/>
      <c r="H60" s="11"/>
      <c r="I60" s="11"/>
      <c r="J60" s="11"/>
      <c r="K60" s="11"/>
      <c r="L60" s="11"/>
      <c r="M60" s="11"/>
    </row>
    <row r="61" spans="1:13">
      <c r="A61" s="11"/>
      <c r="B61" s="11"/>
      <c r="C61" s="11"/>
      <c r="D61" s="11"/>
      <c r="E61" s="11"/>
      <c r="F61" s="11"/>
      <c r="G61" s="11"/>
      <c r="H61" s="11"/>
      <c r="I61" s="11"/>
      <c r="J61" s="11"/>
      <c r="K61" s="11"/>
      <c r="L61" s="11"/>
      <c r="M61" s="11"/>
    </row>
    <row r="62" spans="1:13">
      <c r="A62" s="11"/>
      <c r="B62" s="11"/>
      <c r="C62" s="11"/>
      <c r="D62" s="11"/>
      <c r="E62" s="11"/>
      <c r="F62" s="11"/>
      <c r="G62" s="11"/>
      <c r="H62" s="11"/>
      <c r="I62" s="11"/>
      <c r="J62" s="11"/>
      <c r="K62" s="11"/>
      <c r="L62" s="11"/>
      <c r="M62" s="11"/>
    </row>
    <row r="63" spans="1:13">
      <c r="A63" s="11"/>
      <c r="B63" s="11"/>
      <c r="C63" s="11"/>
      <c r="D63" s="11"/>
      <c r="E63" s="11"/>
      <c r="F63" s="11"/>
      <c r="G63" s="11"/>
      <c r="H63" s="11"/>
      <c r="I63" s="11"/>
      <c r="J63" s="11"/>
      <c r="K63" s="11"/>
      <c r="L63" s="11"/>
      <c r="M63" s="11"/>
    </row>
    <row r="64" spans="1:13">
      <c r="A64" s="11"/>
      <c r="B64" s="11"/>
      <c r="C64" s="11"/>
      <c r="D64" s="11"/>
      <c r="E64" s="11"/>
      <c r="F64" s="11"/>
      <c r="G64" s="11"/>
      <c r="H64" s="11"/>
      <c r="I64" s="11"/>
      <c r="J64" s="11"/>
      <c r="K64" s="11"/>
      <c r="L64" s="11"/>
      <c r="M64" s="11"/>
    </row>
    <row r="65" spans="1:13">
      <c r="A65" s="11"/>
      <c r="B65" s="11"/>
      <c r="C65" s="11"/>
      <c r="D65" s="11"/>
      <c r="E65" s="11"/>
      <c r="F65" s="11"/>
      <c r="G65" s="11"/>
      <c r="H65" s="11"/>
      <c r="I65" s="11"/>
      <c r="J65" s="11"/>
      <c r="K65" s="11"/>
      <c r="L65" s="11"/>
      <c r="M65" s="11"/>
    </row>
    <row r="66" spans="1:13">
      <c r="A66" s="11"/>
      <c r="B66" s="11"/>
      <c r="C66" s="11"/>
      <c r="D66" s="11"/>
      <c r="E66" s="11"/>
      <c r="F66" s="11"/>
      <c r="G66" s="11"/>
      <c r="H66" s="11"/>
      <c r="I66" s="11"/>
      <c r="J66" s="11"/>
      <c r="K66" s="11"/>
      <c r="L66" s="11"/>
      <c r="M66" s="11"/>
    </row>
    <row r="67" spans="1:13">
      <c r="A67" s="11"/>
      <c r="B67" s="11"/>
      <c r="C67" s="11"/>
      <c r="D67" s="11"/>
      <c r="E67" s="11"/>
      <c r="F67" s="11"/>
      <c r="G67" s="11"/>
      <c r="H67" s="11"/>
      <c r="I67" s="11"/>
      <c r="J67" s="11"/>
      <c r="K67" s="11"/>
      <c r="L67" s="11"/>
      <c r="M67" s="11"/>
    </row>
    <row r="68" spans="1:13">
      <c r="A68" s="11"/>
      <c r="B68" s="11"/>
      <c r="C68" s="11"/>
      <c r="D68" s="11"/>
      <c r="E68" s="11"/>
      <c r="F68" s="11"/>
      <c r="G68" s="11"/>
      <c r="H68" s="11"/>
      <c r="I68" s="11"/>
      <c r="J68" s="11"/>
      <c r="K68" s="11"/>
      <c r="L68" s="11"/>
      <c r="M68" s="11"/>
    </row>
  </sheetData>
  <sheetProtection sheet="1" objects="1" scenarios="1"/>
  <mergeCells count="9">
    <mergeCell ref="B24:E24"/>
    <mergeCell ref="G24:J24"/>
    <mergeCell ref="B25:J25"/>
    <mergeCell ref="B3:E3"/>
    <mergeCell ref="G3:J3"/>
    <mergeCell ref="B4:B5"/>
    <mergeCell ref="C4:E4"/>
    <mergeCell ref="G4:G5"/>
    <mergeCell ref="H4:J4"/>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1"/>
  </sheetPr>
  <dimension ref="A1:K43"/>
  <sheetViews>
    <sheetView workbookViewId="0">
      <selection activeCell="F18" sqref="F18"/>
    </sheetView>
  </sheetViews>
  <sheetFormatPr defaultColWidth="9.109375" defaultRowHeight="13.2"/>
  <cols>
    <col min="1" max="1" width="29.33203125" style="11" customWidth="1"/>
    <col min="2" max="2" width="14.88671875" style="11" customWidth="1"/>
    <col min="3" max="3" width="6.5546875" style="11" customWidth="1"/>
    <col min="4" max="4" width="9.6640625" style="11" customWidth="1"/>
    <col min="5" max="5" width="5.6640625" style="11" customWidth="1"/>
    <col min="6" max="6" width="14.6640625" style="11" customWidth="1"/>
    <col min="7" max="7" width="9.88671875" style="11" customWidth="1"/>
    <col min="8" max="8" width="9.109375" style="11"/>
    <col min="9" max="9" width="6.5546875" style="11" customWidth="1"/>
    <col min="10" max="10" width="7.6640625" style="11" customWidth="1"/>
    <col min="11" max="11" width="10.6640625" style="11" customWidth="1"/>
    <col min="12" max="16384" width="9.109375" style="11"/>
  </cols>
  <sheetData>
    <row r="1" spans="1:11" ht="17.399999999999999">
      <c r="A1" s="370" t="s">
        <v>235</v>
      </c>
      <c r="B1" s="370"/>
      <c r="C1" s="370"/>
      <c r="D1" s="370"/>
      <c r="E1" s="370"/>
      <c r="F1" s="370"/>
      <c r="G1" s="370"/>
      <c r="H1" s="370"/>
      <c r="I1" s="370"/>
      <c r="J1" s="370"/>
      <c r="K1" s="408"/>
    </row>
    <row r="2" spans="1:11" ht="11.25" customHeight="1">
      <c r="A2" s="371"/>
      <c r="B2" s="371"/>
      <c r="C2" s="371"/>
      <c r="D2" s="371"/>
      <c r="E2" s="371"/>
      <c r="F2" s="371"/>
      <c r="G2" s="371"/>
      <c r="H2" s="371"/>
      <c r="I2" s="371"/>
      <c r="J2" s="371"/>
    </row>
    <row r="3" spans="1:11">
      <c r="A3" s="11" t="s">
        <v>234</v>
      </c>
    </row>
    <row r="4" spans="1:11">
      <c r="A4" s="11" t="s">
        <v>236</v>
      </c>
    </row>
    <row r="5" spans="1:11" ht="13.8" thickBot="1"/>
    <row r="6" spans="1:11" ht="16.5" customHeight="1">
      <c r="A6" s="380" t="s">
        <v>237</v>
      </c>
      <c r="B6" s="525" t="s">
        <v>249</v>
      </c>
      <c r="C6" s="526"/>
      <c r="D6" s="526"/>
      <c r="E6" s="526"/>
      <c r="F6" s="527"/>
    </row>
    <row r="7" spans="1:11" ht="15" customHeight="1">
      <c r="A7" s="381" t="s">
        <v>226</v>
      </c>
      <c r="B7" s="373">
        <f t="shared" ref="B7:B14" si="0">F7/10</f>
        <v>19</v>
      </c>
      <c r="C7" s="368" t="s">
        <v>177</v>
      </c>
      <c r="D7" s="374">
        <f>B7/25.4</f>
        <v>0.74803149606299213</v>
      </c>
      <c r="E7" s="369" t="s">
        <v>176</v>
      </c>
      <c r="F7" s="403">
        <v>190</v>
      </c>
    </row>
    <row r="8" spans="1:11" ht="15" customHeight="1">
      <c r="A8" s="381" t="s">
        <v>238</v>
      </c>
      <c r="B8" s="373">
        <f t="shared" si="0"/>
        <v>254.7</v>
      </c>
      <c r="C8" s="368" t="s">
        <v>177</v>
      </c>
      <c r="D8" s="374">
        <f t="shared" ref="D8:D15" si="1">B8/25.4</f>
        <v>10.027559055118111</v>
      </c>
      <c r="E8" s="369" t="s">
        <v>176</v>
      </c>
      <c r="F8" s="403">
        <v>2547</v>
      </c>
    </row>
    <row r="9" spans="1:11" ht="15" customHeight="1">
      <c r="A9" s="381" t="s">
        <v>239</v>
      </c>
      <c r="B9" s="373">
        <f t="shared" si="0"/>
        <v>280</v>
      </c>
      <c r="C9" s="368" t="s">
        <v>177</v>
      </c>
      <c r="D9" s="374">
        <f t="shared" si="1"/>
        <v>11.023622047244094</v>
      </c>
      <c r="E9" s="367" t="s">
        <v>176</v>
      </c>
      <c r="F9" s="403">
        <v>2800</v>
      </c>
    </row>
    <row r="10" spans="1:11" ht="15" customHeight="1">
      <c r="A10" s="381" t="s">
        <v>240</v>
      </c>
      <c r="B10" s="373">
        <f t="shared" si="0"/>
        <v>254</v>
      </c>
      <c r="C10" s="368" t="s">
        <v>177</v>
      </c>
      <c r="D10" s="374">
        <f t="shared" si="1"/>
        <v>10</v>
      </c>
      <c r="E10" s="367" t="s">
        <v>176</v>
      </c>
      <c r="F10" s="403">
        <v>2540</v>
      </c>
    </row>
    <row r="11" spans="1:11" ht="15" customHeight="1">
      <c r="A11" s="381" t="s">
        <v>241</v>
      </c>
      <c r="B11" s="373">
        <f t="shared" si="0"/>
        <v>152</v>
      </c>
      <c r="C11" s="368" t="s">
        <v>177</v>
      </c>
      <c r="D11" s="374">
        <f t="shared" si="1"/>
        <v>5.984251968503937</v>
      </c>
      <c r="E11" s="367" t="s">
        <v>176</v>
      </c>
      <c r="F11" s="403">
        <v>1520</v>
      </c>
    </row>
    <row r="12" spans="1:11" ht="15" customHeight="1">
      <c r="A12" s="381" t="s">
        <v>242</v>
      </c>
      <c r="B12" s="373">
        <f t="shared" si="0"/>
        <v>130</v>
      </c>
      <c r="C12" s="368" t="s">
        <v>177</v>
      </c>
      <c r="D12" s="374">
        <f t="shared" si="1"/>
        <v>5.1181102362204731</v>
      </c>
      <c r="E12" s="369" t="s">
        <v>176</v>
      </c>
      <c r="F12" s="403">
        <v>1300</v>
      </c>
    </row>
    <row r="13" spans="1:11" ht="15" customHeight="1">
      <c r="A13" s="381" t="s">
        <v>243</v>
      </c>
      <c r="B13" s="373">
        <f t="shared" si="0"/>
        <v>66.5</v>
      </c>
      <c r="C13" s="368" t="s">
        <v>177</v>
      </c>
      <c r="D13" s="374">
        <f t="shared" si="1"/>
        <v>2.6181102362204727</v>
      </c>
      <c r="E13" s="367" t="s">
        <v>176</v>
      </c>
      <c r="F13" s="403">
        <v>665</v>
      </c>
    </row>
    <row r="14" spans="1:11" ht="15" customHeight="1" thickBot="1">
      <c r="A14" s="382" t="s">
        <v>244</v>
      </c>
      <c r="B14" s="383">
        <f t="shared" si="0"/>
        <v>5</v>
      </c>
      <c r="C14" s="384" t="s">
        <v>177</v>
      </c>
      <c r="D14" s="406">
        <f t="shared" si="1"/>
        <v>0.19685039370078741</v>
      </c>
      <c r="E14" s="385" t="s">
        <v>176</v>
      </c>
      <c r="F14" s="404">
        <v>50</v>
      </c>
    </row>
    <row r="15" spans="1:11" ht="13.95" customHeight="1">
      <c r="A15" s="375" t="s">
        <v>227</v>
      </c>
      <c r="B15" s="378">
        <f>B11-B14-B13</f>
        <v>80.5</v>
      </c>
      <c r="C15" s="379" t="s">
        <v>177</v>
      </c>
      <c r="D15" s="378">
        <f t="shared" si="1"/>
        <v>3.1692913385826773</v>
      </c>
      <c r="E15" s="375" t="s">
        <v>176</v>
      </c>
      <c r="F15" s="405"/>
      <c r="I15" s="311"/>
      <c r="J15" s="311"/>
    </row>
    <row r="16" spans="1:11" ht="13.95" customHeight="1">
      <c r="A16" s="375" t="s">
        <v>228</v>
      </c>
      <c r="B16" s="376">
        <f>(3.14159*B10^2/12*((B11-B14)^3-B13^3)/(B11-B14)^2)/1000000</f>
        <v>2.2530031969842526</v>
      </c>
      <c r="C16" s="377" t="s">
        <v>229</v>
      </c>
      <c r="D16" s="422">
        <f>3.14159*D10^2/12*((D11-D14)^3-D13^3)/(D11-D14)^2</f>
        <v>137.48669053738078</v>
      </c>
      <c r="E16" s="375" t="s">
        <v>230</v>
      </c>
      <c r="F16" s="375"/>
    </row>
    <row r="17" spans="1:11" ht="13.95" customHeight="1">
      <c r="A17" s="375" t="s">
        <v>231</v>
      </c>
      <c r="B17" s="376">
        <f>(0.25*3.14159*B13*B12^2)/1000000</f>
        <v>0.88266898037499997</v>
      </c>
      <c r="C17" s="377" t="s">
        <v>229</v>
      </c>
      <c r="D17" s="422">
        <f>0.25*3.14159*D13*D12^2</f>
        <v>53.863765978762288</v>
      </c>
      <c r="E17" s="375" t="s">
        <v>230</v>
      </c>
      <c r="F17" s="375"/>
      <c r="G17" s="367"/>
      <c r="H17" s="311"/>
      <c r="I17" s="311"/>
      <c r="J17" s="311"/>
      <c r="K17" s="365"/>
    </row>
    <row r="18" spans="1:11" ht="13.95" customHeight="1">
      <c r="B18" s="366"/>
      <c r="C18" s="311"/>
      <c r="D18" s="311"/>
      <c r="G18" s="367"/>
      <c r="H18" s="311"/>
      <c r="I18" s="311"/>
      <c r="J18" s="311"/>
      <c r="K18" s="365"/>
    </row>
    <row r="19" spans="1:11" ht="13.95" customHeight="1" thickBot="1">
      <c r="B19" s="386" t="s">
        <v>30</v>
      </c>
      <c r="C19" s="311"/>
      <c r="D19" s="387" t="s">
        <v>247</v>
      </c>
      <c r="F19" s="372" t="s">
        <v>248</v>
      </c>
      <c r="G19" s="402"/>
      <c r="H19" s="311" t="s">
        <v>251</v>
      </c>
      <c r="I19" s="311"/>
      <c r="J19" s="311"/>
      <c r="K19" s="365"/>
    </row>
    <row r="20" spans="1:11" ht="13.95" customHeight="1">
      <c r="A20" s="276" t="s">
        <v>250</v>
      </c>
      <c r="B20" s="410">
        <f>B16+B17</f>
        <v>3.1356721773592526</v>
      </c>
      <c r="C20" s="396"/>
      <c r="D20" s="415">
        <f>D16+D17</f>
        <v>191.35045651614308</v>
      </c>
      <c r="E20" s="400"/>
      <c r="F20" s="389">
        <f>D20/1728</f>
        <v>0.1107352178912865</v>
      </c>
      <c r="G20" s="409"/>
      <c r="H20" s="423"/>
      <c r="I20" s="424"/>
      <c r="J20" s="424"/>
      <c r="K20" s="425"/>
    </row>
    <row r="21" spans="1:11" ht="13.95" customHeight="1">
      <c r="B21" s="411"/>
      <c r="C21" s="397"/>
      <c r="D21" s="416"/>
      <c r="E21" s="401"/>
      <c r="F21" s="392"/>
      <c r="G21" s="357"/>
      <c r="H21" s="426"/>
      <c r="I21" s="357"/>
      <c r="J21" s="357"/>
      <c r="K21" s="427"/>
    </row>
    <row r="22" spans="1:11" ht="13.95" customHeight="1">
      <c r="A22" s="388" t="s">
        <v>232</v>
      </c>
      <c r="B22" s="412">
        <f>(3.14159*B7*(B8/2)^2)/1000000</f>
        <v>0.96805716880972492</v>
      </c>
      <c r="C22" s="398"/>
      <c r="D22" s="417">
        <f>3.14159*D7*(D8/2)^2</f>
        <v>59.074472938515719</v>
      </c>
      <c r="E22" s="398"/>
      <c r="F22" s="393"/>
      <c r="G22" s="357"/>
      <c r="H22" s="428"/>
      <c r="I22" s="409"/>
      <c r="J22" s="409"/>
      <c r="K22" s="427"/>
    </row>
    <row r="23" spans="1:11" ht="13.95" customHeight="1">
      <c r="A23" s="407" t="s">
        <v>245</v>
      </c>
      <c r="B23" s="413">
        <f>B20-B22</f>
        <v>2.1676150085495278</v>
      </c>
      <c r="C23" s="397"/>
      <c r="D23" s="418">
        <f>D20-D22</f>
        <v>132.27598357762736</v>
      </c>
      <c r="E23" s="397"/>
      <c r="F23" s="390">
        <f>D23/1728</f>
        <v>7.6548601607423244E-2</v>
      </c>
      <c r="G23" s="409"/>
      <c r="H23" s="426"/>
      <c r="I23" s="357"/>
      <c r="J23" s="357"/>
      <c r="K23" s="427"/>
    </row>
    <row r="24" spans="1:11" ht="13.95" customHeight="1">
      <c r="A24" s="369"/>
      <c r="B24" s="411"/>
      <c r="C24" s="397"/>
      <c r="D24" s="419"/>
      <c r="E24" s="401"/>
      <c r="F24" s="394"/>
      <c r="G24" s="357"/>
      <c r="H24" s="426"/>
      <c r="I24" s="357"/>
      <c r="J24" s="357"/>
      <c r="K24" s="427"/>
    </row>
    <row r="25" spans="1:11" ht="13.95" customHeight="1">
      <c r="A25" s="388" t="s">
        <v>233</v>
      </c>
      <c r="B25" s="412">
        <f>(3.14159*(B7-B14)*(B8/2)^2)/1000000</f>
        <v>0.71330528228084988</v>
      </c>
      <c r="C25" s="398"/>
      <c r="D25" s="420">
        <f>3.14159*(D7-D14)*(D8/2)^2</f>
        <v>43.528559007327367</v>
      </c>
      <c r="E25" s="398"/>
      <c r="F25" s="395"/>
      <c r="G25" s="357"/>
      <c r="H25" s="426"/>
      <c r="I25" s="357"/>
      <c r="J25" s="357"/>
      <c r="K25" s="427"/>
    </row>
    <row r="26" spans="1:11" ht="13.95" customHeight="1" thickBot="1">
      <c r="A26" s="407" t="s">
        <v>246</v>
      </c>
      <c r="B26" s="414">
        <f>B20-B25</f>
        <v>2.4223668950784027</v>
      </c>
      <c r="C26" s="399"/>
      <c r="D26" s="421">
        <f>D20-D25</f>
        <v>147.82189750881571</v>
      </c>
      <c r="E26" s="399"/>
      <c r="F26" s="391">
        <f>D26/1728</f>
        <v>8.5545079576860944E-2</v>
      </c>
      <c r="G26" s="409"/>
      <c r="H26" s="429"/>
      <c r="I26" s="430"/>
      <c r="J26" s="430"/>
      <c r="K26" s="431"/>
    </row>
    <row r="27" spans="1:11">
      <c r="H27" s="310"/>
      <c r="I27" s="311"/>
      <c r="J27" s="311"/>
    </row>
    <row r="28" spans="1:11">
      <c r="A28" s="11" t="s">
        <v>223</v>
      </c>
    </row>
    <row r="29" spans="1:11">
      <c r="D29" s="369"/>
    </row>
    <row r="30" spans="1:11">
      <c r="D30" s="369"/>
    </row>
    <row r="36" spans="4:4">
      <c r="D36" s="369"/>
    </row>
    <row r="37" spans="4:4">
      <c r="D37" s="369"/>
    </row>
    <row r="38" spans="4:4">
      <c r="D38" s="369"/>
    </row>
    <row r="39" spans="4:4">
      <c r="D39" s="369"/>
    </row>
    <row r="40" spans="4:4">
      <c r="D40" s="369"/>
    </row>
    <row r="41" spans="4:4">
      <c r="D41" s="369"/>
    </row>
    <row r="42" spans="4:4">
      <c r="D42" s="369"/>
    </row>
    <row r="43" spans="4:4">
      <c r="D43" s="369"/>
    </row>
  </sheetData>
  <sheetProtection sheet="1" objects="1" scenarios="1"/>
  <mergeCells count="1">
    <mergeCell ref="B6:F6"/>
  </mergeCells>
  <phoneticPr fontId="61" type="noConversion"/>
  <pageMargins left="0.75" right="0.75" top="1" bottom="1" header="0.5" footer="0.5"/>
  <headerFooter alignWithMargins="0"/>
  <drawing r:id="rId1"/>
  <legacyDrawing r:id="rId2"/>
</worksheet>
</file>

<file path=xl/worksheets/sheet6.xml><?xml version="1.0" encoding="utf-8"?>
<worksheet xmlns="http://schemas.openxmlformats.org/spreadsheetml/2006/main" xmlns:r="http://schemas.openxmlformats.org/officeDocument/2006/relationships">
  <dimension ref="B2:B21"/>
  <sheetViews>
    <sheetView workbookViewId="0">
      <selection activeCell="B12" sqref="B12"/>
    </sheetView>
  </sheetViews>
  <sheetFormatPr defaultRowHeight="13.2"/>
  <cols>
    <col min="1" max="1" width="17.33203125" customWidth="1"/>
    <col min="2" max="2" width="111.44140625" customWidth="1"/>
  </cols>
  <sheetData>
    <row r="2" spans="2:2" ht="21">
      <c r="B2" s="28" t="s">
        <v>97</v>
      </c>
    </row>
    <row r="4" spans="2:2">
      <c r="B4" s="29" t="s">
        <v>99</v>
      </c>
    </row>
    <row r="5" spans="2:2">
      <c r="B5" s="516" t="s">
        <v>221</v>
      </c>
    </row>
    <row r="6" spans="2:2">
      <c r="B6" s="516"/>
    </row>
    <row r="8" spans="2:2">
      <c r="B8" s="29" t="s">
        <v>98</v>
      </c>
    </row>
    <row r="9" spans="2:2">
      <c r="B9" s="516" t="s">
        <v>124</v>
      </c>
    </row>
    <row r="10" spans="2:2">
      <c r="B10" s="516"/>
    </row>
    <row r="12" spans="2:2">
      <c r="B12" s="29" t="s">
        <v>100</v>
      </c>
    </row>
    <row r="13" spans="2:2" ht="15">
      <c r="B13" s="30" t="s">
        <v>109</v>
      </c>
    </row>
    <row r="14" spans="2:2" ht="15">
      <c r="B14" s="30" t="s">
        <v>101</v>
      </c>
    </row>
    <row r="15" spans="2:2" ht="15">
      <c r="B15" s="30" t="s">
        <v>102</v>
      </c>
    </row>
    <row r="16" spans="2:2" ht="15">
      <c r="B16" s="30" t="s">
        <v>103</v>
      </c>
    </row>
    <row r="17" spans="2:2" ht="15">
      <c r="B17" s="30" t="s">
        <v>104</v>
      </c>
    </row>
    <row r="18" spans="2:2" ht="15">
      <c r="B18" s="30" t="s">
        <v>105</v>
      </c>
    </row>
    <row r="19" spans="2:2" ht="15">
      <c r="B19" s="30" t="s">
        <v>106</v>
      </c>
    </row>
    <row r="20" spans="2:2" ht="15">
      <c r="B20" s="30" t="s">
        <v>107</v>
      </c>
    </row>
    <row r="21" spans="2:2" ht="15">
      <c r="B21" s="30" t="s">
        <v>108</v>
      </c>
    </row>
  </sheetData>
  <mergeCells count="2">
    <mergeCell ref="B9:B10"/>
    <mergeCell ref="B5:B6"/>
  </mergeCells>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22"/>
  </sheetPr>
  <dimension ref="A1:Q176"/>
  <sheetViews>
    <sheetView topLeftCell="A142" workbookViewId="0">
      <selection activeCell="I166" sqref="I166"/>
    </sheetView>
  </sheetViews>
  <sheetFormatPr defaultRowHeight="13.2"/>
  <cols>
    <col min="1" max="1" width="13.33203125" customWidth="1"/>
    <col min="2" max="2" width="17.109375" customWidth="1"/>
    <col min="4" max="4" width="9.33203125" bestFit="1" customWidth="1"/>
  </cols>
  <sheetData>
    <row r="1" spans="1:17">
      <c r="A1" t="s">
        <v>15</v>
      </c>
      <c r="B1" t="s">
        <v>16</v>
      </c>
      <c r="C1" t="s">
        <v>17</v>
      </c>
      <c r="D1" t="s">
        <v>14</v>
      </c>
      <c r="E1" t="s">
        <v>18</v>
      </c>
    </row>
    <row r="2" spans="1:17">
      <c r="A2">
        <f>Main!G13</f>
        <v>0.5</v>
      </c>
      <c r="B2">
        <f>Main!H13</f>
        <v>0.5</v>
      </c>
      <c r="C2">
        <f>Main!I13</f>
        <v>0.5</v>
      </c>
      <c r="D2">
        <f>+tt</f>
        <v>0.5</v>
      </c>
      <c r="E2">
        <f>Main!J13</f>
        <v>0.5</v>
      </c>
    </row>
    <row r="4" spans="1:17">
      <c r="A4" s="5" t="s">
        <v>6</v>
      </c>
      <c r="B4" s="5" t="s">
        <v>7</v>
      </c>
      <c r="C4" s="5" t="s">
        <v>3</v>
      </c>
      <c r="F4" s="7" t="s">
        <v>9</v>
      </c>
      <c r="G4" s="7"/>
      <c r="H4" s="7"/>
      <c r="I4" s="7"/>
      <c r="J4" s="7"/>
      <c r="K4" s="7"/>
      <c r="M4" s="7" t="s">
        <v>10</v>
      </c>
      <c r="N4" s="7"/>
      <c r="O4" s="7" t="s">
        <v>11</v>
      </c>
      <c r="P4" s="7"/>
      <c r="Q4" s="7"/>
    </row>
    <row r="5" spans="1:17">
      <c r="A5" s="6">
        <f>Main!B18</f>
        <v>5</v>
      </c>
      <c r="B5" s="6">
        <f>Main!D18</f>
        <v>7.75</v>
      </c>
      <c r="C5" s="6">
        <f>Main!C18</f>
        <v>10</v>
      </c>
    </row>
    <row r="6" spans="1:17">
      <c r="F6" t="s">
        <v>0</v>
      </c>
      <c r="G6" t="s">
        <v>1</v>
      </c>
      <c r="H6" t="s">
        <v>2</v>
      </c>
      <c r="I6" t="s">
        <v>4</v>
      </c>
      <c r="J6" t="s">
        <v>5</v>
      </c>
      <c r="K6" t="s">
        <v>8</v>
      </c>
      <c r="M6" t="s">
        <v>0</v>
      </c>
      <c r="N6" t="s">
        <v>2</v>
      </c>
      <c r="O6" t="s">
        <v>1</v>
      </c>
      <c r="P6" t="s">
        <v>2</v>
      </c>
      <c r="Q6" t="s">
        <v>12</v>
      </c>
    </row>
    <row r="7" spans="1:17">
      <c r="A7" s="5" t="s">
        <v>65</v>
      </c>
      <c r="B7" s="5" t="s">
        <v>1</v>
      </c>
      <c r="C7" s="5" t="s">
        <v>7</v>
      </c>
      <c r="D7" s="5"/>
      <c r="F7" s="3">
        <v>0</v>
      </c>
      <c r="G7" s="3">
        <v>0</v>
      </c>
      <c r="H7" s="3">
        <f>h</f>
        <v>10</v>
      </c>
      <c r="I7" s="1">
        <f>F7*0.966+G7*0.966</f>
        <v>0</v>
      </c>
      <c r="J7" s="1">
        <f>-F7*0.259+G7*0.259+H7/0.966/0.966</f>
        <v>10.716321815430646</v>
      </c>
      <c r="K7" s="1">
        <f>J7-$J$21</f>
        <v>12.011321815430646</v>
      </c>
      <c r="M7">
        <v>0</v>
      </c>
      <c r="N7">
        <v>0</v>
      </c>
      <c r="O7">
        <f>Q7</f>
        <v>11</v>
      </c>
      <c r="P7">
        <v>0</v>
      </c>
      <c r="Q7">
        <f>MAX(M7:M11)+Main!D50</f>
        <v>11</v>
      </c>
    </row>
    <row r="8" spans="1:17">
      <c r="A8" s="10">
        <f>Main!C7</f>
        <v>0.5</v>
      </c>
      <c r="B8" s="10">
        <f>Main!G19</f>
        <v>5</v>
      </c>
      <c r="C8" s="10">
        <f>Main!D7</f>
        <v>1.125</v>
      </c>
      <c r="D8" s="6"/>
      <c r="F8" s="3">
        <v>0</v>
      </c>
      <c r="G8" s="3">
        <v>0</v>
      </c>
      <c r="H8" s="3">
        <v>0</v>
      </c>
      <c r="I8" s="1">
        <f t="shared" ref="I8:I18" si="0">F8*0.966+G8*0.966</f>
        <v>0</v>
      </c>
      <c r="J8" s="1">
        <f t="shared" ref="J8:J18" si="1">-F8*0.259+G8*0.259+H8/0.966/0.966</f>
        <v>0</v>
      </c>
      <c r="K8" s="1">
        <f>J8-$J$21</f>
        <v>1.2949999999999999</v>
      </c>
      <c r="M8">
        <f>w</f>
        <v>5</v>
      </c>
      <c r="N8">
        <v>0</v>
      </c>
      <c r="O8">
        <f>d+Q8</f>
        <v>18.75</v>
      </c>
      <c r="P8">
        <v>0</v>
      </c>
      <c r="Q8">
        <f>Q7</f>
        <v>11</v>
      </c>
    </row>
    <row r="9" spans="1:17">
      <c r="F9" s="3">
        <f>w</f>
        <v>5</v>
      </c>
      <c r="G9" s="3">
        <v>0</v>
      </c>
      <c r="H9" s="3">
        <v>0</v>
      </c>
      <c r="I9" s="1">
        <f t="shared" si="0"/>
        <v>4.83</v>
      </c>
      <c r="J9" s="1">
        <f t="shared" si="1"/>
        <v>-1.2949999999999999</v>
      </c>
      <c r="K9" s="1">
        <f>J9-$J$21</f>
        <v>0</v>
      </c>
      <c r="M9">
        <f>w</f>
        <v>5</v>
      </c>
      <c r="N9">
        <f>h</f>
        <v>10</v>
      </c>
      <c r="O9">
        <f>d+Q9</f>
        <v>18.75</v>
      </c>
      <c r="P9">
        <f>h</f>
        <v>10</v>
      </c>
      <c r="Q9">
        <f t="shared" ref="Q9:Q14" si="2">Q8</f>
        <v>11</v>
      </c>
    </row>
    <row r="10" spans="1:17">
      <c r="A10" s="3">
        <f>Main!C6</f>
        <v>0</v>
      </c>
      <c r="B10" s="3">
        <f>Main!G18</f>
        <v>7.5</v>
      </c>
      <c r="C10" s="3">
        <f>Main!D6</f>
        <v>3.5</v>
      </c>
      <c r="F10" s="3"/>
      <c r="G10" s="3"/>
      <c r="H10" s="3"/>
      <c r="I10" s="1"/>
      <c r="J10" s="1"/>
      <c r="K10" s="1"/>
      <c r="M10">
        <v>0</v>
      </c>
      <c r="N10">
        <f>h</f>
        <v>10</v>
      </c>
      <c r="O10">
        <f>Q10</f>
        <v>11</v>
      </c>
      <c r="P10">
        <f>h</f>
        <v>10</v>
      </c>
      <c r="Q10">
        <f t="shared" si="2"/>
        <v>11</v>
      </c>
    </row>
    <row r="11" spans="1:17">
      <c r="F11" s="3">
        <f>w</f>
        <v>5</v>
      </c>
      <c r="G11" s="3">
        <v>0</v>
      </c>
      <c r="H11" s="3">
        <f>h</f>
        <v>10</v>
      </c>
      <c r="I11" s="1">
        <f t="shared" si="0"/>
        <v>4.83</v>
      </c>
      <c r="J11" s="1">
        <f t="shared" si="1"/>
        <v>9.4213218154306464</v>
      </c>
      <c r="K11" s="1">
        <f t="shared" ref="K11:K18" si="3">J11-$J$21</f>
        <v>10.716321815430646</v>
      </c>
      <c r="M11">
        <v>0</v>
      </c>
      <c r="N11">
        <v>0</v>
      </c>
      <c r="O11">
        <f>Q11</f>
        <v>11</v>
      </c>
      <c r="P11">
        <v>0</v>
      </c>
      <c r="Q11">
        <f>Q10</f>
        <v>11</v>
      </c>
    </row>
    <row r="12" spans="1:17">
      <c r="A12" s="3">
        <f>Main!C8</f>
        <v>0</v>
      </c>
      <c r="B12" s="17">
        <f>Main!G20</f>
        <v>2.5</v>
      </c>
      <c r="C12" s="17">
        <f>Main!D8</f>
        <v>3.5</v>
      </c>
      <c r="F12" s="3">
        <f>w</f>
        <v>5</v>
      </c>
      <c r="G12" s="3">
        <v>0</v>
      </c>
      <c r="H12" s="3">
        <v>0</v>
      </c>
      <c r="I12" s="1">
        <f t="shared" si="0"/>
        <v>4.83</v>
      </c>
      <c r="J12" s="1">
        <f t="shared" si="1"/>
        <v>-1.2949999999999999</v>
      </c>
      <c r="K12" s="1">
        <f t="shared" si="3"/>
        <v>0</v>
      </c>
    </row>
    <row r="13" spans="1:17">
      <c r="F13" s="3">
        <f>w</f>
        <v>5</v>
      </c>
      <c r="G13" s="3">
        <f>d</f>
        <v>7.75</v>
      </c>
      <c r="H13" s="3">
        <v>0</v>
      </c>
      <c r="I13" s="1">
        <f t="shared" si="0"/>
        <v>12.3165</v>
      </c>
      <c r="J13" s="1">
        <f t="shared" si="1"/>
        <v>0.71225000000000005</v>
      </c>
      <c r="K13" s="1">
        <f t="shared" si="3"/>
        <v>2.00725</v>
      </c>
      <c r="M13">
        <f>MAX(M7:Q11)</f>
        <v>18.75</v>
      </c>
      <c r="N13">
        <f>M13</f>
        <v>18.75</v>
      </c>
      <c r="O13">
        <f>ft+Q13</f>
        <v>11.5</v>
      </c>
      <c r="P13">
        <v>0</v>
      </c>
      <c r="Q13">
        <f>Q11</f>
        <v>11</v>
      </c>
    </row>
    <row r="14" spans="1:17">
      <c r="A14" s="3">
        <f>Main!C9</f>
        <v>0</v>
      </c>
      <c r="B14" s="17" t="str">
        <f>Main!G21</f>
        <v/>
      </c>
      <c r="C14" s="17">
        <f>Main!D9</f>
        <v>0</v>
      </c>
      <c r="F14" s="3">
        <f>w</f>
        <v>5</v>
      </c>
      <c r="G14" s="3">
        <f>d</f>
        <v>7.75</v>
      </c>
      <c r="H14" s="3">
        <f>h</f>
        <v>10</v>
      </c>
      <c r="I14" s="1">
        <f t="shared" si="0"/>
        <v>12.3165</v>
      </c>
      <c r="J14" s="1">
        <f t="shared" si="1"/>
        <v>11.428571815430647</v>
      </c>
      <c r="K14" s="1">
        <f t="shared" si="3"/>
        <v>12.723571815430647</v>
      </c>
      <c r="O14">
        <f>ft+Q14</f>
        <v>11.5</v>
      </c>
      <c r="P14">
        <f>h</f>
        <v>10</v>
      </c>
      <c r="Q14">
        <f t="shared" si="2"/>
        <v>11</v>
      </c>
    </row>
    <row r="15" spans="1:17">
      <c r="F15" s="3">
        <v>0</v>
      </c>
      <c r="G15" s="3">
        <f>d</f>
        <v>7.75</v>
      </c>
      <c r="H15" s="3">
        <f>h</f>
        <v>10</v>
      </c>
      <c r="I15" s="1">
        <f t="shared" si="0"/>
        <v>7.4864999999999995</v>
      </c>
      <c r="J15" s="1">
        <f t="shared" si="1"/>
        <v>12.723571815430645</v>
      </c>
      <c r="K15" s="1">
        <f t="shared" si="3"/>
        <v>14.018571815430645</v>
      </c>
    </row>
    <row r="16" spans="1:17">
      <c r="A16" t="s">
        <v>40</v>
      </c>
      <c r="C16" t="s">
        <v>41</v>
      </c>
      <c r="F16" s="3">
        <v>0</v>
      </c>
      <c r="G16" s="3">
        <v>0</v>
      </c>
      <c r="H16" s="3">
        <f>h</f>
        <v>10</v>
      </c>
      <c r="I16" s="1">
        <f t="shared" si="0"/>
        <v>0</v>
      </c>
      <c r="J16" s="1">
        <f t="shared" si="1"/>
        <v>10.716321815430646</v>
      </c>
      <c r="K16" s="1">
        <f t="shared" si="3"/>
        <v>12.011321815430646</v>
      </c>
      <c r="O16">
        <f>d-rt+Q16</f>
        <v>18.25</v>
      </c>
      <c r="P16">
        <v>0</v>
      </c>
      <c r="Q16">
        <f>Q23</f>
        <v>11</v>
      </c>
    </row>
    <row r="17" spans="1:17">
      <c r="A17" s="9">
        <f>(w-2*st)*(d-ft-rt)*(h-tt-bt)/1728</f>
        <v>0.140625</v>
      </c>
      <c r="B17" t="s">
        <v>20</v>
      </c>
      <c r="C17" s="2">
        <f>w*d*h/1728</f>
        <v>0.22424768518518517</v>
      </c>
      <c r="D17" t="s">
        <v>20</v>
      </c>
      <c r="F17" s="3">
        <f>w</f>
        <v>5</v>
      </c>
      <c r="G17" s="3">
        <v>0</v>
      </c>
      <c r="H17" s="3">
        <f>h</f>
        <v>10</v>
      </c>
      <c r="I17" s="1">
        <f t="shared" si="0"/>
        <v>4.83</v>
      </c>
      <c r="J17" s="1">
        <f t="shared" si="1"/>
        <v>9.4213218154306464</v>
      </c>
      <c r="K17" s="1">
        <f t="shared" si="3"/>
        <v>10.716321815430646</v>
      </c>
      <c r="O17">
        <f>d-rt+Q17</f>
        <v>18.25</v>
      </c>
      <c r="P17">
        <f>h</f>
        <v>10</v>
      </c>
      <c r="Q17">
        <f>Q16</f>
        <v>11</v>
      </c>
    </row>
    <row r="18" spans="1:17">
      <c r="A18" s="9">
        <f>A17*2.54*2.54*2.54/1000*12*12*12</f>
        <v>3.982056552</v>
      </c>
      <c r="B18" t="s">
        <v>21</v>
      </c>
      <c r="C18" s="2">
        <f>w*d*h*0.016387064</f>
        <v>6.3499872999999996</v>
      </c>
      <c r="D18" t="s">
        <v>21</v>
      </c>
      <c r="F18" s="3">
        <f>w</f>
        <v>5</v>
      </c>
      <c r="G18" s="3">
        <f>d</f>
        <v>7.75</v>
      </c>
      <c r="H18" s="3">
        <f>h</f>
        <v>10</v>
      </c>
      <c r="I18" s="1">
        <f t="shared" si="0"/>
        <v>12.3165</v>
      </c>
      <c r="J18" s="1">
        <f t="shared" si="1"/>
        <v>11.428571815430647</v>
      </c>
      <c r="K18" s="1">
        <f t="shared" si="3"/>
        <v>12.723571815430647</v>
      </c>
    </row>
    <row r="19" spans="1:17">
      <c r="D19" s="5"/>
      <c r="I19" s="1"/>
      <c r="J19" s="1"/>
      <c r="K19" s="1"/>
      <c r="O19">
        <f>ft+Q19</f>
        <v>11.5</v>
      </c>
      <c r="P19">
        <f>bt</f>
        <v>0.5</v>
      </c>
      <c r="Q19">
        <f>Q14</f>
        <v>11</v>
      </c>
    </row>
    <row r="20" spans="1:17">
      <c r="A20" t="s">
        <v>24</v>
      </c>
      <c r="I20" s="1">
        <f>MAX(I21:K21)</f>
        <v>14.018571815430645</v>
      </c>
      <c r="J20" s="1"/>
      <c r="K20" s="1">
        <f>I20</f>
        <v>14.018571815430645</v>
      </c>
      <c r="N20" t="s">
        <v>13</v>
      </c>
      <c r="O20">
        <f>d-rt+Q20</f>
        <v>18.25</v>
      </c>
      <c r="P20">
        <f>bt</f>
        <v>0.5</v>
      </c>
      <c r="Q20">
        <f>Q19</f>
        <v>11</v>
      </c>
    </row>
    <row r="21" spans="1:17">
      <c r="A21">
        <f>h</f>
        <v>10</v>
      </c>
      <c r="B21">
        <f>w</f>
        <v>5</v>
      </c>
      <c r="C21">
        <f>ft</f>
        <v>0.5</v>
      </c>
      <c r="D21" s="3"/>
      <c r="I21" s="1">
        <f>MAX(I7:I18)</f>
        <v>12.3165</v>
      </c>
      <c r="J21" s="1">
        <f>MIN(J7:J18)</f>
        <v>-1.2949999999999999</v>
      </c>
      <c r="K21" s="1">
        <f>MAX(K7:K18)</f>
        <v>14.018571815430645</v>
      </c>
    </row>
    <row r="22" spans="1:17">
      <c r="A22" s="8" t="s">
        <v>23</v>
      </c>
      <c r="B22" s="2">
        <f>(A21*B21*C21-ft*$C$8*$C$8*PI()/4-ft*$C$10*$C$10*PI()/4)*0.016387064</f>
        <v>0.32270105294335061</v>
      </c>
      <c r="C22" t="s">
        <v>19</v>
      </c>
      <c r="I22" s="1"/>
      <c r="J22" s="1"/>
      <c r="K22" s="1"/>
      <c r="O22">
        <f>d-rt+Q22</f>
        <v>18.25</v>
      </c>
      <c r="P22">
        <f>h-tt</f>
        <v>9.5</v>
      </c>
      <c r="Q22">
        <f>Q20</f>
        <v>11</v>
      </c>
    </row>
    <row r="23" spans="1:17">
      <c r="E23" s="18">
        <v>0</v>
      </c>
      <c r="F23" s="4">
        <f>COS(E23*0.017453)*$C$8/2+$A$8+w/2</f>
        <v>3.5625</v>
      </c>
      <c r="H23" s="1">
        <f>SIN(E23*0.017453)*$C$8/2+$B$8</f>
        <v>5</v>
      </c>
      <c r="I23" s="1">
        <f t="shared" ref="I23:I47" si="4">F23*0.966+G23*0.966</f>
        <v>3.4413749999999999</v>
      </c>
      <c r="J23" s="1">
        <f t="shared" ref="J23:J47" si="5">-F23*0.259+G23*0.259+H23/0.966/0.966</f>
        <v>4.4354734077153228</v>
      </c>
      <c r="K23" s="1">
        <f>J23-$J$21</f>
        <v>5.7304734077153228</v>
      </c>
      <c r="O23">
        <f>ft+Q23</f>
        <v>11.5</v>
      </c>
      <c r="P23">
        <f>h-tt</f>
        <v>9.5</v>
      </c>
      <c r="Q23">
        <f>Q22</f>
        <v>11</v>
      </c>
    </row>
    <row r="24" spans="1:17">
      <c r="A24" t="s">
        <v>25</v>
      </c>
      <c r="E24" s="18">
        <v>15</v>
      </c>
      <c r="F24" s="4">
        <f t="shared" ref="F24:F47" si="6">COS(E24*0.017453)*$C$8/2+$A$8+w/2</f>
        <v>3.5433339160832378</v>
      </c>
      <c r="H24" s="1">
        <f t="shared" ref="H24:H47" si="7">SIN(E24*0.017453)*$C$8/2+$B$8</f>
        <v>5.1455833288314743</v>
      </c>
      <c r="I24" s="1">
        <f t="shared" si="4"/>
        <v>3.4228605629364077</v>
      </c>
      <c r="J24" s="1">
        <f t="shared" si="5"/>
        <v>4.5964492037217388</v>
      </c>
      <c r="K24" s="1">
        <f t="shared" ref="K24:K47" si="8">J24-$J$21</f>
        <v>5.8914492037217387</v>
      </c>
    </row>
    <row r="25" spans="1:17">
      <c r="A25">
        <f>h</f>
        <v>10</v>
      </c>
      <c r="B25">
        <f>w</f>
        <v>5</v>
      </c>
      <c r="C25">
        <f>rt</f>
        <v>0.5</v>
      </c>
      <c r="E25" s="18">
        <v>30</v>
      </c>
      <c r="F25" s="4">
        <f t="shared" si="6"/>
        <v>3.4871417577470107</v>
      </c>
      <c r="H25" s="1">
        <f t="shared" si="7"/>
        <v>5.2812457250504492</v>
      </c>
      <c r="I25" s="1">
        <f t="shared" si="4"/>
        <v>3.3685789379836124</v>
      </c>
      <c r="J25" s="1">
        <f t="shared" si="5"/>
        <v>4.7563831623443216</v>
      </c>
      <c r="K25" s="1">
        <f t="shared" si="8"/>
        <v>6.0513831623443215</v>
      </c>
      <c r="O25">
        <f>st</f>
        <v>0.5</v>
      </c>
      <c r="P25">
        <v>0</v>
      </c>
    </row>
    <row r="26" spans="1:17">
      <c r="A26" s="8" t="s">
        <v>23</v>
      </c>
      <c r="B26" s="2">
        <f>A25*B25*C25*0.016387064</f>
        <v>0.4096766</v>
      </c>
      <c r="C26" t="s">
        <v>19</v>
      </c>
      <c r="E26" s="18">
        <v>45</v>
      </c>
      <c r="F26" s="4">
        <f t="shared" si="6"/>
        <v>3.3977528000922472</v>
      </c>
      <c r="H26" s="1">
        <f t="shared" si="7"/>
        <v>5.397742328673699</v>
      </c>
      <c r="I26" s="1">
        <f t="shared" si="4"/>
        <v>3.2822292048891106</v>
      </c>
      <c r="J26" s="1">
        <f t="shared" si="5"/>
        <v>4.9043764118600466</v>
      </c>
      <c r="K26" s="1">
        <f t="shared" si="8"/>
        <v>6.1993764118600465</v>
      </c>
      <c r="O26">
        <f>st</f>
        <v>0.5</v>
      </c>
      <c r="P26">
        <f>h</f>
        <v>10</v>
      </c>
    </row>
    <row r="27" spans="1:17">
      <c r="E27" s="18">
        <v>60</v>
      </c>
      <c r="F27" s="4">
        <f t="shared" si="6"/>
        <v>3.2812585498341234</v>
      </c>
      <c r="H27" s="1">
        <f t="shared" si="7"/>
        <v>5.4871343532796732</v>
      </c>
      <c r="I27" s="1">
        <f t="shared" si="4"/>
        <v>3.169695759139763</v>
      </c>
      <c r="J27" s="1">
        <f t="shared" si="5"/>
        <v>5.030343793017952</v>
      </c>
      <c r="K27" s="1">
        <f t="shared" si="8"/>
        <v>6.3253437930179519</v>
      </c>
    </row>
    <row r="28" spans="1:17">
      <c r="A28" t="s">
        <v>26</v>
      </c>
      <c r="E28" s="18">
        <v>75</v>
      </c>
      <c r="F28" s="4">
        <f t="shared" si="6"/>
        <v>3.1455976330215902</v>
      </c>
      <c r="H28" s="1">
        <f t="shared" si="7"/>
        <v>5.5433300831525072</v>
      </c>
      <c r="I28" s="1">
        <f t="shared" si="4"/>
        <v>3.0386473134988559</v>
      </c>
      <c r="J28" s="1">
        <f t="shared" si="5"/>
        <v>5.1257011230694278</v>
      </c>
      <c r="K28" s="1">
        <f t="shared" si="8"/>
        <v>6.4207011230694278</v>
      </c>
      <c r="O28">
        <f>w-st</f>
        <v>4.5</v>
      </c>
      <c r="P28">
        <v>0</v>
      </c>
    </row>
    <row r="29" spans="1:17">
      <c r="A29">
        <f>d-ft-rt</f>
        <v>6.75</v>
      </c>
      <c r="B29">
        <f>w-2*st</f>
        <v>4</v>
      </c>
      <c r="C29">
        <f>tt</f>
        <v>0.5</v>
      </c>
      <c r="E29" s="18">
        <v>90</v>
      </c>
      <c r="F29" s="4">
        <f t="shared" si="6"/>
        <v>3.0000148088221277</v>
      </c>
      <c r="H29" s="1">
        <f t="shared" si="7"/>
        <v>5.5624999998050653</v>
      </c>
      <c r="I29" s="1">
        <f t="shared" si="4"/>
        <v>2.8980143053221754</v>
      </c>
      <c r="J29" s="1">
        <f t="shared" si="5"/>
        <v>5.1839501741394685</v>
      </c>
      <c r="K29" s="1">
        <f t="shared" si="8"/>
        <v>6.4789501741394684</v>
      </c>
      <c r="O29">
        <f>w-st</f>
        <v>4.5</v>
      </c>
      <c r="P29">
        <f>h</f>
        <v>10</v>
      </c>
    </row>
    <row r="30" spans="1:17">
      <c r="A30" s="8" t="s">
        <v>23</v>
      </c>
      <c r="B30" s="2">
        <f>A29*B29*C29*0.016387064</f>
        <v>0.22122536400000001</v>
      </c>
      <c r="C30" t="s">
        <v>19</v>
      </c>
      <c r="E30" s="18">
        <v>105</v>
      </c>
      <c r="F30" s="4">
        <f t="shared" si="6"/>
        <v>2.8544309754595449</v>
      </c>
      <c r="H30" s="1">
        <f t="shared" si="7"/>
        <v>5.5433377486373834</v>
      </c>
      <c r="I30" s="1">
        <f t="shared" si="4"/>
        <v>2.7573803222939204</v>
      </c>
      <c r="J30" s="1">
        <f t="shared" si="5"/>
        <v>5.2011215019582782</v>
      </c>
      <c r="K30" s="1">
        <f t="shared" si="8"/>
        <v>6.4961215019582781</v>
      </c>
    </row>
    <row r="31" spans="1:17">
      <c r="E31" s="18">
        <v>120</v>
      </c>
      <c r="F31" s="4">
        <f t="shared" si="6"/>
        <v>2.718767099928157</v>
      </c>
      <c r="H31" s="1">
        <f t="shared" si="7"/>
        <v>5.4871491618767099</v>
      </c>
      <c r="I31" s="1">
        <f t="shared" si="4"/>
        <v>2.6263290185305994</v>
      </c>
      <c r="J31" s="1">
        <f t="shared" si="5"/>
        <v>5.1760449479127448</v>
      </c>
      <c r="K31" s="1">
        <f t="shared" si="8"/>
        <v>6.4710449479127448</v>
      </c>
      <c r="O31">
        <f>st</f>
        <v>0.5</v>
      </c>
      <c r="P31">
        <f>bt</f>
        <v>0.5</v>
      </c>
    </row>
    <row r="32" spans="1:17">
      <c r="A32" t="s">
        <v>27</v>
      </c>
      <c r="E32" s="18">
        <v>135</v>
      </c>
      <c r="F32" s="4">
        <f t="shared" si="6"/>
        <v>2.6022681430205252</v>
      </c>
      <c r="H32" s="1">
        <f t="shared" si="7"/>
        <v>5.3977632712351138</v>
      </c>
      <c r="I32" s="1">
        <f t="shared" si="4"/>
        <v>2.5137910261578273</v>
      </c>
      <c r="J32" s="1">
        <f t="shared" si="5"/>
        <v>5.1104293807643986</v>
      </c>
      <c r="K32" s="1">
        <f t="shared" si="8"/>
        <v>6.4054293807643985</v>
      </c>
      <c r="O32">
        <f>w-st</f>
        <v>4.5</v>
      </c>
      <c r="P32">
        <f>bt</f>
        <v>0.5</v>
      </c>
    </row>
    <row r="33" spans="1:16">
      <c r="A33">
        <f>d-ft-rt</f>
        <v>6.75</v>
      </c>
      <c r="B33">
        <f>w-2*st</f>
        <v>4</v>
      </c>
      <c r="C33">
        <f>bt</f>
        <v>0.5</v>
      </c>
      <c r="E33" s="18">
        <v>150</v>
      </c>
      <c r="F33" s="4">
        <f t="shared" si="6"/>
        <v>2.5128730515252964</v>
      </c>
      <c r="H33" s="1">
        <f t="shared" si="7"/>
        <v>5.2812713744228574</v>
      </c>
      <c r="I33" s="1">
        <f t="shared" si="4"/>
        <v>2.4274353677734362</v>
      </c>
      <c r="J33" s="1">
        <f t="shared" si="5"/>
        <v>5.0087462439486545</v>
      </c>
      <c r="K33" s="1">
        <f t="shared" si="8"/>
        <v>6.3037462439486545</v>
      </c>
    </row>
    <row r="34" spans="1:16">
      <c r="A34" s="8" t="s">
        <v>23</v>
      </c>
      <c r="B34" s="2">
        <f>A33*B33*C33*0.016387064</f>
        <v>0.22122536400000001</v>
      </c>
      <c r="C34" t="s">
        <v>19</v>
      </c>
      <c r="E34" s="18">
        <v>165</v>
      </c>
      <c r="F34" s="4">
        <f t="shared" si="6"/>
        <v>2.4566737501548053</v>
      </c>
      <c r="H34" s="1">
        <f t="shared" si="7"/>
        <v>5.1456119371107922</v>
      </c>
      <c r="I34" s="1">
        <f t="shared" si="4"/>
        <v>2.3731468426495419</v>
      </c>
      <c r="J34" s="1">
        <f t="shared" si="5"/>
        <v>4.8779248442499785</v>
      </c>
      <c r="K34" s="1">
        <f t="shared" si="8"/>
        <v>6.1729248442499784</v>
      </c>
      <c r="O34">
        <f>st</f>
        <v>0.5</v>
      </c>
      <c r="P34">
        <f>h-tt</f>
        <v>9.5</v>
      </c>
    </row>
    <row r="35" spans="1:16">
      <c r="E35" s="18">
        <v>180</v>
      </c>
      <c r="F35" s="4">
        <f t="shared" si="6"/>
        <v>2.4375000007797376</v>
      </c>
      <c r="H35" s="1">
        <f t="shared" si="7"/>
        <v>5.0000296176442447</v>
      </c>
      <c r="I35" s="1">
        <f t="shared" si="4"/>
        <v>2.3546250007532263</v>
      </c>
      <c r="J35" s="1">
        <f t="shared" si="5"/>
        <v>4.7268801467340849</v>
      </c>
      <c r="K35" s="1">
        <f t="shared" si="8"/>
        <v>6.0218801467340848</v>
      </c>
      <c r="O35">
        <f>w-st</f>
        <v>4.5</v>
      </c>
      <c r="P35">
        <f>h-tt</f>
        <v>9.5</v>
      </c>
    </row>
    <row r="36" spans="1:16">
      <c r="A36" t="s">
        <v>28</v>
      </c>
      <c r="E36" s="18">
        <v>195</v>
      </c>
      <c r="F36" s="4">
        <f t="shared" si="6"/>
        <v>2.4566584191850582</v>
      </c>
      <c r="H36" s="1">
        <f t="shared" si="7"/>
        <v>4.8544452798514586</v>
      </c>
      <c r="I36" s="1">
        <f t="shared" si="4"/>
        <v>2.3731320329327663</v>
      </c>
      <c r="J36" s="1">
        <f t="shared" si="5"/>
        <v>4.5659052548597217</v>
      </c>
      <c r="K36" s="1">
        <f t="shared" si="8"/>
        <v>5.8609052548597216</v>
      </c>
    </row>
    <row r="37" spans="1:16">
      <c r="A37">
        <f>h</f>
        <v>10</v>
      </c>
      <c r="B37">
        <f>d-ft-rt</f>
        <v>6.75</v>
      </c>
      <c r="C37">
        <f>st</f>
        <v>0.5</v>
      </c>
      <c r="E37" s="18">
        <v>210</v>
      </c>
      <c r="F37" s="4">
        <f t="shared" si="6"/>
        <v>2.5128434343312342</v>
      </c>
      <c r="H37" s="1">
        <f t="shared" si="7"/>
        <v>4.7187799251016855</v>
      </c>
      <c r="I37" s="1">
        <f t="shared" si="4"/>
        <v>2.4274067575639724</v>
      </c>
      <c r="J37" s="1">
        <f t="shared" si="5"/>
        <v>4.4059699758665483</v>
      </c>
      <c r="K37" s="1">
        <f t="shared" si="8"/>
        <v>5.7009699758665482</v>
      </c>
    </row>
    <row r="38" spans="1:16">
      <c r="A38" s="8" t="s">
        <v>23</v>
      </c>
      <c r="B38" s="2">
        <f>A37*B37*C37*0.016387064</f>
        <v>0.55306341000000003</v>
      </c>
      <c r="C38" t="s">
        <v>19</v>
      </c>
      <c r="E38" s="18">
        <v>225</v>
      </c>
      <c r="F38" s="4">
        <f t="shared" si="6"/>
        <v>2.6022262578977098</v>
      </c>
      <c r="H38" s="1">
        <f>SIN(E38*0.017453)*$C$8/2+$B$8</f>
        <v>4.6022786149904178</v>
      </c>
      <c r="I38" s="1">
        <f t="shared" si="4"/>
        <v>2.5137505651291874</v>
      </c>
      <c r="J38" s="1">
        <f t="shared" si="5"/>
        <v>4.2579732714556684</v>
      </c>
      <c r="K38" s="1">
        <f t="shared" si="8"/>
        <v>5.5529732714556683</v>
      </c>
    </row>
    <row r="39" spans="1:16">
      <c r="E39" s="18">
        <v>240</v>
      </c>
      <c r="F39" s="4">
        <f t="shared" si="6"/>
        <v>2.7187158011833574</v>
      </c>
      <c r="H39" s="1">
        <f t="shared" si="7"/>
        <v>4.5128804566678937</v>
      </c>
      <c r="I39" s="1">
        <f t="shared" si="4"/>
        <v>2.6262794639431233</v>
      </c>
      <c r="J39" s="1">
        <f t="shared" si="5"/>
        <v>4.1320005363155881</v>
      </c>
      <c r="K39" s="1">
        <f t="shared" si="8"/>
        <v>5.427000536315588</v>
      </c>
    </row>
    <row r="40" spans="1:16">
      <c r="A40" t="s">
        <v>29</v>
      </c>
      <c r="B40" s="2">
        <f>B22+B26+B30+B34+2*B38</f>
        <v>2.2809552009433505</v>
      </c>
      <c r="C40" t="s">
        <v>30</v>
      </c>
      <c r="E40" s="18">
        <v>255</v>
      </c>
      <c r="F40" s="4">
        <f t="shared" si="6"/>
        <v>2.8543737589009304</v>
      </c>
      <c r="H40" s="1">
        <f t="shared" si="7"/>
        <v>4.4566775838386974</v>
      </c>
      <c r="I40" s="1">
        <f t="shared" si="4"/>
        <v>2.7573250510982987</v>
      </c>
      <c r="J40" s="1">
        <f t="shared" si="5"/>
        <v>4.0366363180477967</v>
      </c>
      <c r="K40" s="1">
        <f t="shared" si="8"/>
        <v>5.3316363180477966</v>
      </c>
    </row>
    <row r="41" spans="1:16">
      <c r="A41" t="s">
        <v>31</v>
      </c>
      <c r="B41">
        <f>+Main!G5</f>
        <v>0.753</v>
      </c>
      <c r="E41" s="18">
        <v>270</v>
      </c>
      <c r="F41" s="4">
        <f t="shared" si="6"/>
        <v>2.9999555735336578</v>
      </c>
      <c r="H41" s="1">
        <f t="shared" si="7"/>
        <v>4.43750000175441</v>
      </c>
      <c r="I41" s="1">
        <f t="shared" si="4"/>
        <v>2.8979570840335134</v>
      </c>
      <c r="J41" s="1">
        <f t="shared" si="5"/>
        <v>3.9783793139322148</v>
      </c>
      <c r="K41" s="1">
        <f t="shared" si="8"/>
        <v>5.2733793139322147</v>
      </c>
    </row>
    <row r="42" spans="1:16">
      <c r="A42" t="s">
        <v>32</v>
      </c>
      <c r="B42">
        <f>B40*B41</f>
        <v>1.7175592663103429</v>
      </c>
      <c r="E42" s="18">
        <v>285</v>
      </c>
      <c r="F42" s="4">
        <f t="shared" si="6"/>
        <v>3.1455404156557445</v>
      </c>
      <c r="H42" s="1">
        <f t="shared" si="7"/>
        <v>4.4566545873840901</v>
      </c>
      <c r="I42" s="1">
        <f t="shared" si="4"/>
        <v>3.0385920415234491</v>
      </c>
      <c r="J42" s="1">
        <f t="shared" si="5"/>
        <v>3.9611995102074808</v>
      </c>
      <c r="K42" s="1">
        <f t="shared" si="8"/>
        <v>5.2561995102074803</v>
      </c>
    </row>
    <row r="43" spans="1:16">
      <c r="E43" s="18">
        <v>300</v>
      </c>
      <c r="F43" s="4">
        <f t="shared" si="6"/>
        <v>3.2812072495298721</v>
      </c>
      <c r="H43" s="1">
        <f t="shared" si="7"/>
        <v>4.5128360308768265</v>
      </c>
      <c r="I43" s="1">
        <f t="shared" si="4"/>
        <v>3.1696462030458563</v>
      </c>
      <c r="J43" s="1">
        <f t="shared" si="5"/>
        <v>3.9862676430864421</v>
      </c>
      <c r="K43" s="1">
        <f t="shared" si="8"/>
        <v>5.2812676430864425</v>
      </c>
    </row>
    <row r="44" spans="1:16">
      <c r="E44" s="18">
        <v>315</v>
      </c>
      <c r="F44" s="4">
        <f t="shared" si="6"/>
        <v>3.3977109127640301</v>
      </c>
      <c r="H44" s="1">
        <f t="shared" si="7"/>
        <v>4.6022157873062302</v>
      </c>
      <c r="I44" s="1">
        <f t="shared" si="4"/>
        <v>3.282188741730053</v>
      </c>
      <c r="J44" s="1">
        <f t="shared" si="5"/>
        <v>4.0518754176770244</v>
      </c>
      <c r="K44" s="1">
        <f t="shared" si="8"/>
        <v>5.3468754176770243</v>
      </c>
    </row>
    <row r="45" spans="1:16">
      <c r="E45" s="18">
        <v>330</v>
      </c>
      <c r="F45" s="4">
        <f t="shared" si="6"/>
        <v>3.4871121378518852</v>
      </c>
      <c r="H45" s="1">
        <f t="shared" si="7"/>
        <v>4.7187029769845301</v>
      </c>
      <c r="I45" s="1">
        <f t="shared" si="4"/>
        <v>3.3685503251649211</v>
      </c>
      <c r="J45" s="1">
        <f t="shared" si="5"/>
        <v>4.1535519215760477</v>
      </c>
      <c r="K45" s="1">
        <f t="shared" si="8"/>
        <v>5.4485519215760476</v>
      </c>
    </row>
    <row r="46" spans="1:16">
      <c r="E46" s="18">
        <v>345</v>
      </c>
      <c r="F46" s="4">
        <f t="shared" si="6"/>
        <v>3.5433185821008335</v>
      </c>
      <c r="H46" s="1">
        <f t="shared" si="7"/>
        <v>4.8543594550135856</v>
      </c>
      <c r="I46" s="1">
        <f t="shared" si="4"/>
        <v>3.422845750309405</v>
      </c>
      <c r="J46" s="1">
        <f t="shared" si="5"/>
        <v>4.2843683000062951</v>
      </c>
      <c r="K46" s="1">
        <f t="shared" si="8"/>
        <v>5.579368300006295</v>
      </c>
    </row>
    <row r="47" spans="1:16">
      <c r="E47" s="18">
        <v>360</v>
      </c>
      <c r="F47" s="4">
        <f t="shared" si="6"/>
        <v>3.5624999968810496</v>
      </c>
      <c r="H47" s="1">
        <f t="shared" si="7"/>
        <v>4.9999407647115923</v>
      </c>
      <c r="I47" s="1">
        <f t="shared" si="4"/>
        <v>3.4413749969870939</v>
      </c>
      <c r="J47" s="1">
        <f t="shared" si="5"/>
        <v>4.4354099300817911</v>
      </c>
      <c r="K47" s="1">
        <f t="shared" si="8"/>
        <v>5.730409930081791</v>
      </c>
    </row>
    <row r="48" spans="1:16">
      <c r="H48" s="1"/>
      <c r="I48" s="1"/>
      <c r="J48" s="1"/>
      <c r="K48" s="1"/>
    </row>
    <row r="49" spans="5:11">
      <c r="E49">
        <v>0</v>
      </c>
      <c r="F49" s="4">
        <f>COS(E49*0.017453)*$C$10/2+$A$10+w/2</f>
        <v>4.25</v>
      </c>
      <c r="H49" s="1">
        <f>SIN(E49*0.017453)*$C$10/2+$B$10</f>
        <v>7.5</v>
      </c>
      <c r="I49" s="1">
        <f>F49*0.966+G49*0.966</f>
        <v>4.1055000000000001</v>
      </c>
      <c r="J49" s="1">
        <f t="shared" ref="J49:J83" si="9">-F49*0.259+G49*0.259+H49/0.966/0.966</f>
        <v>6.9364913615729851</v>
      </c>
      <c r="K49" s="1">
        <f>J49-$J$21</f>
        <v>8.231491361572985</v>
      </c>
    </row>
    <row r="50" spans="5:11">
      <c r="E50">
        <v>15</v>
      </c>
      <c r="F50" s="4">
        <f t="shared" ref="F50:F73" si="10">COS(E50*0.017453)*$C$10/2+$A$10+w/2</f>
        <v>4.1903721833700729</v>
      </c>
      <c r="H50" s="1">
        <f t="shared" ref="H50:H73" si="11">SIN(E50*0.017453)*$C$10/2+$B$10</f>
        <v>7.9529259119201434</v>
      </c>
      <c r="I50" s="1">
        <f>F50*0.966+G50*0.966</f>
        <v>4.0478995291354902</v>
      </c>
      <c r="J50" s="1">
        <f t="shared" si="9"/>
        <v>7.4373049491485004</v>
      </c>
      <c r="K50" s="1">
        <f>J50-$J$21</f>
        <v>8.7323049491484994</v>
      </c>
    </row>
    <row r="51" spans="5:11">
      <c r="E51">
        <v>30</v>
      </c>
      <c r="F51" s="4">
        <f t="shared" si="10"/>
        <v>4.0155521352129222</v>
      </c>
      <c r="H51" s="1">
        <f t="shared" si="11"/>
        <v>8.3749867001569527</v>
      </c>
      <c r="I51" s="1">
        <f t="shared" ref="I51:I75" si="12">F51*0.966+G51*0.966</f>
        <v>3.8790233626156829</v>
      </c>
      <c r="J51" s="1">
        <f t="shared" si="9"/>
        <v>7.9348772648632</v>
      </c>
      <c r="K51" s="1">
        <f t="shared" ref="K51:K118" si="13">J51-$J$21</f>
        <v>9.2298772648631999</v>
      </c>
    </row>
    <row r="52" spans="5:11">
      <c r="E52">
        <v>45</v>
      </c>
      <c r="F52" s="4">
        <f t="shared" si="10"/>
        <v>3.7374531558425481</v>
      </c>
      <c r="H52" s="1">
        <f t="shared" si="11"/>
        <v>8.7374205780959517</v>
      </c>
      <c r="I52" s="1">
        <f t="shared" si="12"/>
        <v>3.6103797485439015</v>
      </c>
      <c r="J52" s="1">
        <f t="shared" si="9"/>
        <v>8.3953007078010096</v>
      </c>
      <c r="K52" s="1">
        <f t="shared" si="13"/>
        <v>9.6903007078010095</v>
      </c>
    </row>
    <row r="53" spans="5:11">
      <c r="E53">
        <v>60</v>
      </c>
      <c r="F53" s="4">
        <f t="shared" si="10"/>
        <v>3.3750265994839399</v>
      </c>
      <c r="H53" s="1">
        <f t="shared" si="11"/>
        <v>9.0155290990923174</v>
      </c>
      <c r="I53" s="1">
        <f t="shared" si="12"/>
        <v>3.2602756951014857</v>
      </c>
      <c r="J53" s="1">
        <f t="shared" si="9"/>
        <v>8.7871992269589398</v>
      </c>
      <c r="K53" s="1">
        <f t="shared" si="13"/>
        <v>10.08219922695894</v>
      </c>
    </row>
    <row r="54" spans="5:11">
      <c r="E54">
        <v>75</v>
      </c>
      <c r="F54" s="4">
        <f t="shared" si="10"/>
        <v>2.9529704138449469</v>
      </c>
      <c r="H54" s="1">
        <f t="shared" si="11"/>
        <v>9.190360258696689</v>
      </c>
      <c r="I54" s="1">
        <f t="shared" si="12"/>
        <v>2.8525694197742184</v>
      </c>
      <c r="J54" s="1">
        <f t="shared" si="9"/>
        <v>9.0838664760079748</v>
      </c>
      <c r="K54" s="1">
        <f t="shared" si="13"/>
        <v>10.378866476007975</v>
      </c>
    </row>
    <row r="55" spans="5:11">
      <c r="E55">
        <v>90</v>
      </c>
      <c r="F55" s="4">
        <f t="shared" si="10"/>
        <v>2.500046071891064</v>
      </c>
      <c r="H55" s="1">
        <f t="shared" si="11"/>
        <v>9.2499999993935376</v>
      </c>
      <c r="I55" s="1">
        <f t="shared" si="12"/>
        <v>2.4150445054467675</v>
      </c>
      <c r="J55" s="1">
        <f t="shared" si="9"/>
        <v>9.265085746003658</v>
      </c>
      <c r="K55" s="1">
        <f t="shared" si="13"/>
        <v>10.560085746003658</v>
      </c>
    </row>
    <row r="56" spans="5:11">
      <c r="E56">
        <v>105</v>
      </c>
      <c r="F56" s="4">
        <f t="shared" si="10"/>
        <v>2.047118590318584</v>
      </c>
      <c r="H56" s="1">
        <f t="shared" si="11"/>
        <v>9.1903841068718588</v>
      </c>
      <c r="I56" s="1">
        <f t="shared" si="12"/>
        <v>1.9775165582477521</v>
      </c>
      <c r="J56" s="1">
        <f t="shared" si="9"/>
        <v>9.3185076547732866</v>
      </c>
      <c r="K56" s="1">
        <f t="shared" si="13"/>
        <v>10.613507654773287</v>
      </c>
    </row>
    <row r="57" spans="5:11">
      <c r="E57">
        <v>120</v>
      </c>
      <c r="F57" s="4">
        <f t="shared" si="10"/>
        <v>1.6250531997764885</v>
      </c>
      <c r="H57" s="1">
        <f t="shared" si="11"/>
        <v>9.0155751702830962</v>
      </c>
      <c r="I57" s="1">
        <f t="shared" si="12"/>
        <v>1.5698013909840878</v>
      </c>
      <c r="J57" s="1">
        <f t="shared" si="9"/>
        <v>9.2404917088538507</v>
      </c>
      <c r="K57" s="1">
        <f t="shared" si="13"/>
        <v>10.535491708853851</v>
      </c>
    </row>
    <row r="58" spans="5:11">
      <c r="E58">
        <v>135</v>
      </c>
      <c r="F58" s="4">
        <f t="shared" si="10"/>
        <v>1.2626120005083012</v>
      </c>
      <c r="H58" s="1">
        <f t="shared" si="11"/>
        <v>8.7374857327314643</v>
      </c>
      <c r="I58" s="1">
        <f t="shared" si="12"/>
        <v>1.219683192491019</v>
      </c>
      <c r="J58" s="1">
        <f t="shared" si="9"/>
        <v>9.0363543888367737</v>
      </c>
      <c r="K58" s="1">
        <f t="shared" si="13"/>
        <v>10.331354388836774</v>
      </c>
    </row>
    <row r="59" spans="5:11">
      <c r="E59">
        <v>150</v>
      </c>
      <c r="F59" s="4">
        <f t="shared" si="10"/>
        <v>0.98449393807869989</v>
      </c>
      <c r="H59" s="1">
        <f t="shared" si="11"/>
        <v>8.3750664982044469</v>
      </c>
      <c r="I59" s="1">
        <f t="shared" si="12"/>
        <v>0.95102114418402406</v>
      </c>
      <c r="J59" s="1">
        <f t="shared" si="9"/>
        <v>8.7200068520766827</v>
      </c>
      <c r="K59" s="1">
        <f t="shared" si="13"/>
        <v>10.015006852076683</v>
      </c>
    </row>
    <row r="60" spans="5:11">
      <c r="E60">
        <v>165</v>
      </c>
      <c r="F60" s="4">
        <f t="shared" si="10"/>
        <v>0.80965166714828363</v>
      </c>
      <c r="H60" s="1">
        <f t="shared" si="11"/>
        <v>7.953014915455797</v>
      </c>
      <c r="I60" s="1">
        <f t="shared" si="12"/>
        <v>0.78212351046524198</v>
      </c>
      <c r="J60" s="1">
        <f t="shared" si="9"/>
        <v>8.3130069419030228</v>
      </c>
      <c r="K60" s="1">
        <f t="shared" si="13"/>
        <v>9.6080069419030227</v>
      </c>
    </row>
    <row r="61" spans="5:11">
      <c r="E61">
        <v>180</v>
      </c>
      <c r="F61" s="4">
        <f t="shared" si="10"/>
        <v>0.75000000242585041</v>
      </c>
      <c r="H61" s="1">
        <f t="shared" si="11"/>
        <v>7.500092143782096</v>
      </c>
      <c r="I61" s="1">
        <f t="shared" si="12"/>
        <v>0.72450000234337142</v>
      </c>
      <c r="J61" s="1">
        <f t="shared" si="9"/>
        <v>7.8430901051869126</v>
      </c>
      <c r="K61" s="1">
        <f t="shared" si="13"/>
        <v>9.1380901051869117</v>
      </c>
    </row>
    <row r="62" spans="5:11">
      <c r="E62">
        <v>195</v>
      </c>
      <c r="F62" s="4">
        <f t="shared" si="10"/>
        <v>0.80960397079795943</v>
      </c>
      <c r="H62" s="1">
        <f t="shared" si="11"/>
        <v>7.0471630928712035</v>
      </c>
      <c r="I62" s="1">
        <f t="shared" si="12"/>
        <v>0.78207743579082878</v>
      </c>
      <c r="J62" s="1">
        <f t="shared" si="9"/>
        <v>7.3422793304666678</v>
      </c>
      <c r="K62" s="1">
        <f t="shared" si="13"/>
        <v>8.6372793304666686</v>
      </c>
    </row>
    <row r="63" spans="5:11">
      <c r="E63">
        <v>210</v>
      </c>
      <c r="F63" s="4">
        <f t="shared" si="10"/>
        <v>0.98440179569717334</v>
      </c>
      <c r="H63" s="1">
        <f t="shared" si="11"/>
        <v>6.6250931003163549</v>
      </c>
      <c r="I63" s="1">
        <f t="shared" si="12"/>
        <v>0.95093213464346937</v>
      </c>
      <c r="J63" s="1">
        <f t="shared" si="9"/>
        <v>6.8447029069323531</v>
      </c>
      <c r="K63" s="1">
        <f t="shared" si="13"/>
        <v>8.139702906932353</v>
      </c>
    </row>
    <row r="64" spans="5:11">
      <c r="E64">
        <v>225</v>
      </c>
      <c r="F64" s="4">
        <f t="shared" si="10"/>
        <v>1.2624816912373191</v>
      </c>
      <c r="H64" s="1">
        <f t="shared" si="11"/>
        <v>6.2626445799701873</v>
      </c>
      <c r="I64" s="1">
        <f t="shared" si="12"/>
        <v>1.2195573137352502</v>
      </c>
      <c r="J64" s="1">
        <f t="shared" si="9"/>
        <v>6.384268715431836</v>
      </c>
      <c r="K64" s="1">
        <f t="shared" si="13"/>
        <v>7.679268715431836</v>
      </c>
    </row>
    <row r="65" spans="5:11">
      <c r="E65">
        <v>240</v>
      </c>
      <c r="F65" s="4">
        <f t="shared" si="10"/>
        <v>1.6248936036815556</v>
      </c>
      <c r="H65" s="1">
        <f t="shared" si="11"/>
        <v>5.9845169763001156</v>
      </c>
      <c r="I65" s="1">
        <f t="shared" si="12"/>
        <v>1.5696472211563826</v>
      </c>
      <c r="J65" s="1">
        <f t="shared" si="9"/>
        <v>5.992353539440475</v>
      </c>
      <c r="K65" s="1">
        <f t="shared" si="13"/>
        <v>7.2873535394404749</v>
      </c>
    </row>
    <row r="66" spans="5:11">
      <c r="E66">
        <v>255</v>
      </c>
      <c r="F66" s="4">
        <f t="shared" si="10"/>
        <v>2.0469405832473382</v>
      </c>
      <c r="H66" s="1">
        <f t="shared" si="11"/>
        <v>5.8096635941648369</v>
      </c>
      <c r="I66" s="1">
        <f t="shared" si="12"/>
        <v>1.9773446034169286</v>
      </c>
      <c r="J66" s="1">
        <f t="shared" si="9"/>
        <v>5.6956648603851256</v>
      </c>
      <c r="K66" s="1">
        <f t="shared" si="13"/>
        <v>6.9906648603851256</v>
      </c>
    </row>
    <row r="67" spans="5:11">
      <c r="E67">
        <v>270</v>
      </c>
      <c r="F67" s="4">
        <f t="shared" si="10"/>
        <v>2.4998617843269355</v>
      </c>
      <c r="H67" s="1">
        <f t="shared" si="11"/>
        <v>5.7500000054581637</v>
      </c>
      <c r="I67" s="1">
        <f t="shared" si="12"/>
        <v>2.4148664836598197</v>
      </c>
      <c r="J67" s="1">
        <f t="shared" si="9"/>
        <v>5.5144208475810901</v>
      </c>
      <c r="K67" s="1">
        <f t="shared" si="13"/>
        <v>6.80942084758109</v>
      </c>
    </row>
    <row r="68" spans="5:11">
      <c r="E68">
        <v>285</v>
      </c>
      <c r="F68" s="4">
        <f>COS(E68*0.017453)*$C$10/2+$A$10+w/2</f>
        <v>2.9527924042623162</v>
      </c>
      <c r="H68" s="1">
        <f t="shared" si="11"/>
        <v>5.8095920496393925</v>
      </c>
      <c r="I68" s="1">
        <f t="shared" si="12"/>
        <v>2.8523974625173971</v>
      </c>
      <c r="J68" s="1">
        <f t="shared" si="9"/>
        <v>5.4609725693263673</v>
      </c>
      <c r="K68" s="1">
        <f t="shared" si="13"/>
        <v>6.7559725693263672</v>
      </c>
    </row>
    <row r="69" spans="5:11">
      <c r="E69">
        <v>300</v>
      </c>
      <c r="F69" s="4">
        <f t="shared" si="10"/>
        <v>3.3748669985373798</v>
      </c>
      <c r="H69" s="1">
        <f t="shared" si="11"/>
        <v>5.9843787627279053</v>
      </c>
      <c r="I69" s="1">
        <f t="shared" si="12"/>
        <v>3.2601215205871088</v>
      </c>
      <c r="J69" s="1">
        <f t="shared" si="9"/>
        <v>5.5389623160609096</v>
      </c>
      <c r="K69" s="1">
        <f t="shared" si="13"/>
        <v>6.8339623160609095</v>
      </c>
    </row>
    <row r="70" spans="5:11">
      <c r="E70">
        <v>315</v>
      </c>
      <c r="F70" s="4">
        <f t="shared" si="10"/>
        <v>3.7373228397103158</v>
      </c>
      <c r="H70" s="1">
        <f t="shared" si="11"/>
        <v>6.262449116063828</v>
      </c>
      <c r="I70" s="1">
        <f t="shared" si="12"/>
        <v>3.6102538631601648</v>
      </c>
      <c r="J70" s="1">
        <f t="shared" si="9"/>
        <v>5.7430753925649451</v>
      </c>
      <c r="K70" s="1">
        <f t="shared" si="13"/>
        <v>7.0380753925649451</v>
      </c>
    </row>
    <row r="71" spans="5:11">
      <c r="E71">
        <v>330</v>
      </c>
      <c r="F71" s="4">
        <f t="shared" si="10"/>
        <v>4.0154599844280874</v>
      </c>
      <c r="H71" s="1">
        <f t="shared" si="11"/>
        <v>6.6248537061740933</v>
      </c>
      <c r="I71" s="1">
        <f t="shared" si="12"/>
        <v>3.8789343449575324</v>
      </c>
      <c r="J71" s="1">
        <f t="shared" si="9"/>
        <v>6.0594022935841263</v>
      </c>
      <c r="K71" s="1">
        <f t="shared" si="13"/>
        <v>7.3544022935841262</v>
      </c>
    </row>
    <row r="72" spans="5:11">
      <c r="E72">
        <v>345</v>
      </c>
      <c r="F72" s="4">
        <f t="shared" si="10"/>
        <v>4.190324477647037</v>
      </c>
      <c r="H72" s="1">
        <f t="shared" si="11"/>
        <v>7.0468960822644879</v>
      </c>
      <c r="I72" s="1">
        <f t="shared" si="12"/>
        <v>4.0478534454070374</v>
      </c>
      <c r="J72" s="1">
        <f t="shared" si="9"/>
        <v>6.4663865820337865</v>
      </c>
      <c r="K72" s="1">
        <f t="shared" si="13"/>
        <v>7.7613865820337864</v>
      </c>
    </row>
    <row r="73" spans="5:11">
      <c r="E73">
        <v>360</v>
      </c>
      <c r="F73" s="4">
        <f t="shared" si="10"/>
        <v>4.2499999902965984</v>
      </c>
      <c r="H73" s="1">
        <f t="shared" si="11"/>
        <v>7.4998157124360647</v>
      </c>
      <c r="I73" s="1">
        <f t="shared" si="12"/>
        <v>4.1054999906265142</v>
      </c>
      <c r="J73" s="1">
        <f t="shared" si="9"/>
        <v>6.9362938756019954</v>
      </c>
      <c r="K73" s="1">
        <f t="shared" si="13"/>
        <v>8.2312938756019953</v>
      </c>
    </row>
    <row r="75" spans="5:11">
      <c r="F75">
        <v>0</v>
      </c>
      <c r="G75">
        <f>ft</f>
        <v>0.5</v>
      </c>
      <c r="H75" s="1">
        <f>h</f>
        <v>10</v>
      </c>
      <c r="I75" s="1">
        <f t="shared" si="12"/>
        <v>0.48299999999999998</v>
      </c>
      <c r="J75" s="1">
        <f t="shared" si="9"/>
        <v>10.845821815430646</v>
      </c>
      <c r="K75" s="1">
        <f t="shared" si="13"/>
        <v>12.140821815430646</v>
      </c>
    </row>
    <row r="76" spans="5:11">
      <c r="F76">
        <f>w</f>
        <v>5</v>
      </c>
      <c r="G76">
        <f>ft</f>
        <v>0.5</v>
      </c>
      <c r="H76">
        <f>h</f>
        <v>10</v>
      </c>
      <c r="I76" s="1">
        <f>F76*0.966+G76*0.966</f>
        <v>5.3129999999999997</v>
      </c>
      <c r="J76" s="1">
        <f t="shared" si="9"/>
        <v>9.5508218154306466</v>
      </c>
      <c r="K76" s="1">
        <f t="shared" si="13"/>
        <v>10.845821815430646</v>
      </c>
    </row>
    <row r="77" spans="5:11">
      <c r="F77">
        <f>w</f>
        <v>5</v>
      </c>
      <c r="G77">
        <f>ft</f>
        <v>0.5</v>
      </c>
      <c r="H77">
        <v>0</v>
      </c>
      <c r="I77" s="1">
        <f>F77*0.966+G77*0.966</f>
        <v>5.3129999999999997</v>
      </c>
      <c r="J77" s="1">
        <f t="shared" si="9"/>
        <v>-1.1655</v>
      </c>
      <c r="K77" s="1">
        <f t="shared" si="13"/>
        <v>0.12949999999999995</v>
      </c>
    </row>
    <row r="79" spans="5:11">
      <c r="F79">
        <f>st</f>
        <v>0.5</v>
      </c>
      <c r="G79">
        <f>ft</f>
        <v>0.5</v>
      </c>
      <c r="H79">
        <f>h</f>
        <v>10</v>
      </c>
      <c r="I79" s="1">
        <f>F79*0.966+G79*0.966</f>
        <v>0.96599999999999997</v>
      </c>
      <c r="J79" s="1">
        <f t="shared" si="9"/>
        <v>10.716321815430646</v>
      </c>
      <c r="K79" s="1">
        <f t="shared" si="13"/>
        <v>12.011321815430646</v>
      </c>
    </row>
    <row r="80" spans="5:11">
      <c r="F80">
        <f>st</f>
        <v>0.5</v>
      </c>
      <c r="G80">
        <f>d-rt</f>
        <v>7.25</v>
      </c>
      <c r="H80">
        <f>h</f>
        <v>10</v>
      </c>
      <c r="I80" s="1">
        <f>F80*0.966+G80*0.966</f>
        <v>7.4864999999999995</v>
      </c>
      <c r="J80" s="1">
        <f t="shared" si="9"/>
        <v>12.464571815430647</v>
      </c>
      <c r="K80" s="1">
        <f t="shared" si="13"/>
        <v>13.759571815430647</v>
      </c>
    </row>
    <row r="82" spans="5:11">
      <c r="F82">
        <f>w-st</f>
        <v>4.5</v>
      </c>
      <c r="G82">
        <f>ft</f>
        <v>0.5</v>
      </c>
      <c r="H82">
        <f>h</f>
        <v>10</v>
      </c>
      <c r="I82" s="1">
        <f>F82*0.966+G82*0.966</f>
        <v>4.8299999999999992</v>
      </c>
      <c r="J82" s="1">
        <f t="shared" si="9"/>
        <v>9.6803218154306467</v>
      </c>
      <c r="K82" s="1">
        <f t="shared" si="13"/>
        <v>10.975321815430647</v>
      </c>
    </row>
    <row r="83" spans="5:11">
      <c r="F83">
        <f>w-st</f>
        <v>4.5</v>
      </c>
      <c r="G83">
        <f>d-rt</f>
        <v>7.25</v>
      </c>
      <c r="H83">
        <f>h</f>
        <v>10</v>
      </c>
      <c r="I83" s="1">
        <f>F83*0.966+G83*0.966</f>
        <v>11.3505</v>
      </c>
      <c r="J83" s="1">
        <f t="shared" si="9"/>
        <v>11.428571815430647</v>
      </c>
      <c r="K83" s="1">
        <f t="shared" si="13"/>
        <v>12.723571815430647</v>
      </c>
    </row>
    <row r="85" spans="5:11">
      <c r="F85">
        <f>F75</f>
        <v>0</v>
      </c>
      <c r="G85">
        <f>G80</f>
        <v>7.25</v>
      </c>
      <c r="H85" s="1">
        <f>H75</f>
        <v>10</v>
      </c>
      <c r="I85" s="1">
        <f>F85*0.966+G85*0.966</f>
        <v>7.0034999999999998</v>
      </c>
      <c r="J85" s="1">
        <f>-F85*0.259+G85*0.259+H85/0.966/0.966</f>
        <v>12.594071815430647</v>
      </c>
      <c r="K85" s="1">
        <f t="shared" si="13"/>
        <v>13.889071815430647</v>
      </c>
    </row>
    <row r="86" spans="5:11">
      <c r="F86">
        <f>F76</f>
        <v>5</v>
      </c>
      <c r="G86">
        <f>G85</f>
        <v>7.25</v>
      </c>
      <c r="H86" s="1">
        <f>H76</f>
        <v>10</v>
      </c>
      <c r="I86" s="1">
        <f>F86*0.966+G86*0.966</f>
        <v>11.833500000000001</v>
      </c>
      <c r="J86" s="1">
        <f>-F86*0.259+G86*0.259+H86/0.966/0.966</f>
        <v>11.299071815430647</v>
      </c>
      <c r="K86" s="1">
        <f t="shared" si="13"/>
        <v>12.594071815430647</v>
      </c>
    </row>
    <row r="87" spans="5:11">
      <c r="F87">
        <f>F77</f>
        <v>5</v>
      </c>
      <c r="G87">
        <f>G86</f>
        <v>7.25</v>
      </c>
      <c r="H87" s="1">
        <f>H77</f>
        <v>0</v>
      </c>
      <c r="I87" s="1">
        <f>F87*0.966+G87*0.966</f>
        <v>11.833500000000001</v>
      </c>
      <c r="J87" s="1">
        <f>-F87*0.259+G87*0.259+H87/0.966/0.966</f>
        <v>0.5827500000000001</v>
      </c>
      <c r="K87" s="1">
        <f t="shared" si="13"/>
        <v>1.87775</v>
      </c>
    </row>
    <row r="89" spans="5:11">
      <c r="E89">
        <v>0</v>
      </c>
      <c r="F89" s="4">
        <f>COS(E49*0.017453)*$C$12/2+$A$12+w/2</f>
        <v>4.25</v>
      </c>
      <c r="G89" s="4"/>
      <c r="H89" s="1">
        <f>SIN(E49*0.017453)*$C$12/2+$B$12</f>
        <v>2.5</v>
      </c>
      <c r="I89" s="1">
        <f>F89*0.966+G89*0.966</f>
        <v>4.1055000000000001</v>
      </c>
      <c r="J89" s="1">
        <f>-F89*0.259+G89*0.259+H89/0.966/0.966</f>
        <v>1.5783304538576615</v>
      </c>
      <c r="K89" s="1">
        <f t="shared" si="13"/>
        <v>2.8733304538576614</v>
      </c>
    </row>
    <row r="90" spans="5:11">
      <c r="E90">
        <v>15</v>
      </c>
      <c r="F90" s="4">
        <f t="shared" ref="F90:F113" si="14">COS(E50*0.017453)*$C$12/2+$A$12+w/2</f>
        <v>4.1903721833700729</v>
      </c>
      <c r="G90" s="4"/>
      <c r="H90" s="1">
        <f t="shared" ref="H90:H113" si="15">SIN(E50*0.017453)*$C$12/2+$B$12</f>
        <v>2.952925911920143</v>
      </c>
      <c r="I90" s="1">
        <f t="shared" ref="I90:I113" si="16">F90*0.966+G90*0.966</f>
        <v>4.0478995291354902</v>
      </c>
      <c r="J90" s="1">
        <f t="shared" ref="J90:J113" si="17">-F90*0.259+G90*0.259+H90/0.966/0.966</f>
        <v>2.0791440414331772</v>
      </c>
      <c r="K90" s="1">
        <f t="shared" si="13"/>
        <v>3.3741440414331771</v>
      </c>
    </row>
    <row r="91" spans="5:11">
      <c r="E91">
        <v>30</v>
      </c>
      <c r="F91" s="4">
        <f t="shared" si="14"/>
        <v>4.0155521352129222</v>
      </c>
      <c r="G91" s="4"/>
      <c r="H91" s="1">
        <f t="shared" si="15"/>
        <v>3.3749867001569527</v>
      </c>
      <c r="I91" s="1">
        <f t="shared" si="16"/>
        <v>3.8790233626156829</v>
      </c>
      <c r="J91" s="1">
        <f t="shared" si="17"/>
        <v>2.5767163571478768</v>
      </c>
      <c r="K91" s="1">
        <f t="shared" si="13"/>
        <v>3.8717163571478768</v>
      </c>
    </row>
    <row r="92" spans="5:11">
      <c r="E92">
        <v>45</v>
      </c>
      <c r="F92" s="4">
        <f t="shared" si="14"/>
        <v>3.7374531558425481</v>
      </c>
      <c r="G92" s="4"/>
      <c r="H92" s="1">
        <f t="shared" si="15"/>
        <v>3.7374205780959517</v>
      </c>
      <c r="I92" s="1">
        <f t="shared" si="16"/>
        <v>3.6103797485439015</v>
      </c>
      <c r="J92" s="1">
        <f t="shared" si="17"/>
        <v>3.0371398000856864</v>
      </c>
      <c r="K92" s="1">
        <f t="shared" si="13"/>
        <v>4.3321398000856863</v>
      </c>
    </row>
    <row r="93" spans="5:11">
      <c r="E93">
        <v>60</v>
      </c>
      <c r="F93" s="4">
        <f t="shared" si="14"/>
        <v>3.3750265994839399</v>
      </c>
      <c r="G93" s="4"/>
      <c r="H93" s="1">
        <f t="shared" si="15"/>
        <v>4.0155290990923174</v>
      </c>
      <c r="I93" s="1">
        <f t="shared" si="16"/>
        <v>3.2602756951014857</v>
      </c>
      <c r="J93" s="1">
        <f t="shared" si="17"/>
        <v>3.4290383192436171</v>
      </c>
      <c r="K93" s="1">
        <f t="shared" si="13"/>
        <v>4.7240383192436166</v>
      </c>
    </row>
    <row r="94" spans="5:11">
      <c r="E94">
        <v>75</v>
      </c>
      <c r="F94" s="4">
        <f t="shared" si="14"/>
        <v>2.9529704138449469</v>
      </c>
      <c r="G94" s="4"/>
      <c r="H94" s="1">
        <f t="shared" si="15"/>
        <v>4.190360258696689</v>
      </c>
      <c r="I94" s="1">
        <f t="shared" si="16"/>
        <v>2.8525694197742184</v>
      </c>
      <c r="J94" s="1">
        <f t="shared" si="17"/>
        <v>3.7257055682926525</v>
      </c>
      <c r="K94" s="1">
        <f t="shared" si="13"/>
        <v>5.0207055682926525</v>
      </c>
    </row>
    <row r="95" spans="5:11">
      <c r="E95">
        <v>90</v>
      </c>
      <c r="F95" s="4">
        <f t="shared" si="14"/>
        <v>2.500046071891064</v>
      </c>
      <c r="G95" s="4"/>
      <c r="H95" s="1">
        <f t="shared" si="15"/>
        <v>4.2499999993935376</v>
      </c>
      <c r="I95" s="1">
        <f t="shared" si="16"/>
        <v>2.4150445054467675</v>
      </c>
      <c r="J95" s="1">
        <f t="shared" si="17"/>
        <v>3.9069248382883348</v>
      </c>
      <c r="K95" s="1">
        <f t="shared" si="13"/>
        <v>5.2019248382883347</v>
      </c>
    </row>
    <row r="96" spans="5:11">
      <c r="E96">
        <v>105</v>
      </c>
      <c r="F96" s="4">
        <f t="shared" si="14"/>
        <v>2.047118590318584</v>
      </c>
      <c r="G96" s="4"/>
      <c r="H96" s="1">
        <f t="shared" si="15"/>
        <v>4.1903841068718588</v>
      </c>
      <c r="I96" s="1">
        <f t="shared" si="16"/>
        <v>1.9775165582477521</v>
      </c>
      <c r="J96" s="1">
        <f t="shared" si="17"/>
        <v>3.9603467470579634</v>
      </c>
      <c r="K96" s="1">
        <f t="shared" si="13"/>
        <v>5.2553467470579633</v>
      </c>
    </row>
    <row r="97" spans="5:11">
      <c r="E97">
        <v>120</v>
      </c>
      <c r="F97" s="4">
        <f t="shared" si="14"/>
        <v>1.6250531997764885</v>
      </c>
      <c r="G97" s="4"/>
      <c r="H97" s="1">
        <f t="shared" si="15"/>
        <v>4.0155751702830971</v>
      </c>
      <c r="I97" s="1">
        <f t="shared" si="16"/>
        <v>1.5698013909840878</v>
      </c>
      <c r="J97" s="1">
        <f t="shared" si="17"/>
        <v>3.8823308011385285</v>
      </c>
      <c r="K97" s="1">
        <f t="shared" si="13"/>
        <v>5.1773308011385284</v>
      </c>
    </row>
    <row r="98" spans="5:11">
      <c r="E98">
        <v>135</v>
      </c>
      <c r="F98" s="4">
        <f t="shared" si="14"/>
        <v>1.2626120005083012</v>
      </c>
      <c r="G98" s="4"/>
      <c r="H98" s="1">
        <f t="shared" si="15"/>
        <v>3.7374857327314652</v>
      </c>
      <c r="I98" s="1">
        <f t="shared" si="16"/>
        <v>1.219683192491019</v>
      </c>
      <c r="J98" s="1">
        <f t="shared" si="17"/>
        <v>3.6781934811214496</v>
      </c>
      <c r="K98" s="1">
        <f t="shared" si="13"/>
        <v>4.9731934811214495</v>
      </c>
    </row>
    <row r="99" spans="5:11">
      <c r="E99">
        <v>150</v>
      </c>
      <c r="F99" s="4">
        <f t="shared" si="14"/>
        <v>0.98449393807869989</v>
      </c>
      <c r="G99" s="4"/>
      <c r="H99" s="1">
        <f t="shared" si="15"/>
        <v>3.3750664982044465</v>
      </c>
      <c r="I99" s="1">
        <f t="shared" si="16"/>
        <v>0.95102114418402406</v>
      </c>
      <c r="J99" s="1">
        <f t="shared" si="17"/>
        <v>3.3618459443613595</v>
      </c>
      <c r="K99" s="1">
        <f t="shared" si="13"/>
        <v>4.6568459443613595</v>
      </c>
    </row>
    <row r="100" spans="5:11">
      <c r="E100">
        <v>165</v>
      </c>
      <c r="F100" s="4">
        <f t="shared" si="14"/>
        <v>0.80965166714828363</v>
      </c>
      <c r="G100" s="4"/>
      <c r="H100" s="1">
        <f t="shared" si="15"/>
        <v>2.9530149154557974</v>
      </c>
      <c r="I100" s="1">
        <f t="shared" si="16"/>
        <v>0.78212351046524198</v>
      </c>
      <c r="J100" s="1">
        <f t="shared" si="17"/>
        <v>2.9548460341876992</v>
      </c>
      <c r="K100" s="1">
        <f t="shared" si="13"/>
        <v>4.2498460341876996</v>
      </c>
    </row>
    <row r="101" spans="5:11">
      <c r="E101">
        <v>180</v>
      </c>
      <c r="F101" s="4">
        <f t="shared" si="14"/>
        <v>0.75000000242585041</v>
      </c>
      <c r="G101" s="4"/>
      <c r="H101" s="1">
        <f t="shared" si="15"/>
        <v>2.5000921437820955</v>
      </c>
      <c r="I101" s="1">
        <f t="shared" si="16"/>
        <v>0.72450000234337142</v>
      </c>
      <c r="J101" s="1">
        <f t="shared" si="17"/>
        <v>2.4849291974715886</v>
      </c>
      <c r="K101" s="1">
        <f t="shared" si="13"/>
        <v>3.7799291974715885</v>
      </c>
    </row>
    <row r="102" spans="5:11">
      <c r="E102">
        <v>195</v>
      </c>
      <c r="F102" s="4">
        <f t="shared" si="14"/>
        <v>0.80960397079795943</v>
      </c>
      <c r="G102" s="4"/>
      <c r="H102" s="1">
        <f t="shared" si="15"/>
        <v>2.0471630928712035</v>
      </c>
      <c r="I102" s="1">
        <f t="shared" si="16"/>
        <v>0.78207743579082878</v>
      </c>
      <c r="J102" s="1">
        <f t="shared" si="17"/>
        <v>1.984118422751344</v>
      </c>
      <c r="K102" s="1">
        <f t="shared" si="13"/>
        <v>3.2791184227513437</v>
      </c>
    </row>
    <row r="103" spans="5:11">
      <c r="E103">
        <v>210</v>
      </c>
      <c r="F103" s="4">
        <f t="shared" si="14"/>
        <v>0.98440179569717334</v>
      </c>
      <c r="G103" s="4"/>
      <c r="H103" s="1">
        <f t="shared" si="15"/>
        <v>1.6250931003163553</v>
      </c>
      <c r="I103" s="1">
        <f t="shared" si="16"/>
        <v>0.95093213464346937</v>
      </c>
      <c r="J103" s="1">
        <f t="shared" si="17"/>
        <v>1.4865419992170306</v>
      </c>
      <c r="K103" s="1">
        <f t="shared" si="13"/>
        <v>2.7815419992170307</v>
      </c>
    </row>
    <row r="104" spans="5:11">
      <c r="E104">
        <v>225</v>
      </c>
      <c r="F104" s="4">
        <f t="shared" si="14"/>
        <v>1.2624816912373191</v>
      </c>
      <c r="G104" s="4"/>
      <c r="H104" s="1">
        <f t="shared" si="15"/>
        <v>1.2626445799701873</v>
      </c>
      <c r="I104" s="1">
        <f t="shared" si="16"/>
        <v>1.2195573137352502</v>
      </c>
      <c r="J104" s="1">
        <f t="shared" si="17"/>
        <v>1.0261078077165127</v>
      </c>
      <c r="K104" s="1">
        <f t="shared" si="13"/>
        <v>2.3211078077165128</v>
      </c>
    </row>
    <row r="105" spans="5:11">
      <c r="E105">
        <v>240</v>
      </c>
      <c r="F105" s="4">
        <f t="shared" si="14"/>
        <v>1.6248936036815556</v>
      </c>
      <c r="G105" s="4"/>
      <c r="H105" s="1">
        <f t="shared" si="15"/>
        <v>0.98451697630011514</v>
      </c>
      <c r="I105" s="1">
        <f t="shared" si="16"/>
        <v>1.5696472211563826</v>
      </c>
      <c r="J105" s="1">
        <f t="shared" si="17"/>
        <v>0.63419263172515117</v>
      </c>
      <c r="K105" s="1">
        <f t="shared" si="13"/>
        <v>1.9291926317251511</v>
      </c>
    </row>
    <row r="106" spans="5:11">
      <c r="E106">
        <v>255</v>
      </c>
      <c r="F106" s="4">
        <f t="shared" si="14"/>
        <v>2.0469405832473382</v>
      </c>
      <c r="G106" s="4"/>
      <c r="H106" s="1">
        <f t="shared" si="15"/>
        <v>0.80966359416483669</v>
      </c>
      <c r="I106" s="1">
        <f t="shared" si="16"/>
        <v>1.9773446034169286</v>
      </c>
      <c r="J106" s="1">
        <f t="shared" si="17"/>
        <v>0.33750395266980182</v>
      </c>
      <c r="K106" s="1">
        <f t="shared" si="13"/>
        <v>1.6325039526698018</v>
      </c>
    </row>
    <row r="107" spans="5:11">
      <c r="E107">
        <v>270</v>
      </c>
      <c r="F107" s="4">
        <f t="shared" si="14"/>
        <v>2.4998617843269355</v>
      </c>
      <c r="G107" s="4"/>
      <c r="H107" s="1">
        <f t="shared" si="15"/>
        <v>0.75000000545816348</v>
      </c>
      <c r="I107" s="1">
        <f t="shared" si="16"/>
        <v>2.4148664836598197</v>
      </c>
      <c r="J107" s="1">
        <f t="shared" si="17"/>
        <v>0.15625993986576581</v>
      </c>
      <c r="K107" s="1">
        <f t="shared" si="13"/>
        <v>1.4512599398657657</v>
      </c>
    </row>
    <row r="108" spans="5:11">
      <c r="E108">
        <v>285</v>
      </c>
      <c r="F108" s="4">
        <f t="shared" si="14"/>
        <v>2.9527924042623162</v>
      </c>
      <c r="G108" s="4"/>
      <c r="H108" s="1">
        <f t="shared" si="15"/>
        <v>0.80959204963939224</v>
      </c>
      <c r="I108" s="1">
        <f t="shared" si="16"/>
        <v>2.8523974625173971</v>
      </c>
      <c r="J108" s="1">
        <f t="shared" si="17"/>
        <v>0.10281166161104316</v>
      </c>
      <c r="K108" s="1">
        <f t="shared" si="13"/>
        <v>1.3978116616110432</v>
      </c>
    </row>
    <row r="109" spans="5:11">
      <c r="E109">
        <v>300</v>
      </c>
      <c r="F109" s="4">
        <f t="shared" si="14"/>
        <v>3.3748669985373798</v>
      </c>
      <c r="G109" s="4"/>
      <c r="H109" s="1">
        <f t="shared" si="15"/>
        <v>0.98437876272790481</v>
      </c>
      <c r="I109" s="1">
        <f t="shared" si="16"/>
        <v>3.2601215205871088</v>
      </c>
      <c r="J109" s="1">
        <f t="shared" si="17"/>
        <v>0.18080140834558589</v>
      </c>
      <c r="K109" s="1">
        <f t="shared" si="13"/>
        <v>1.4758014083455859</v>
      </c>
    </row>
    <row r="110" spans="5:11">
      <c r="E110">
        <v>315</v>
      </c>
      <c r="F110" s="4">
        <f t="shared" si="14"/>
        <v>3.7373228397103158</v>
      </c>
      <c r="G110" s="4"/>
      <c r="H110" s="1">
        <f t="shared" si="15"/>
        <v>1.262449116063828</v>
      </c>
      <c r="I110" s="1">
        <f t="shared" si="16"/>
        <v>3.6102538631601648</v>
      </c>
      <c r="J110" s="1">
        <f t="shared" si="17"/>
        <v>0.38491448484962199</v>
      </c>
      <c r="K110" s="1">
        <f t="shared" si="13"/>
        <v>1.6799144848496219</v>
      </c>
    </row>
    <row r="111" spans="5:11">
      <c r="E111">
        <v>330</v>
      </c>
      <c r="F111" s="4">
        <f t="shared" si="14"/>
        <v>4.0154599844280874</v>
      </c>
      <c r="G111" s="4"/>
      <c r="H111" s="1">
        <f t="shared" si="15"/>
        <v>1.6248537061740935</v>
      </c>
      <c r="I111" s="1">
        <f t="shared" si="16"/>
        <v>3.8789343449575324</v>
      </c>
      <c r="J111" s="1">
        <f t="shared" si="17"/>
        <v>0.70124138586880314</v>
      </c>
      <c r="K111" s="1">
        <f t="shared" si="13"/>
        <v>1.9962413858688031</v>
      </c>
    </row>
    <row r="112" spans="5:11">
      <c r="E112">
        <v>345</v>
      </c>
      <c r="F112" s="4">
        <f t="shared" si="14"/>
        <v>4.190324477647037</v>
      </c>
      <c r="G112" s="4"/>
      <c r="H112" s="1">
        <f t="shared" si="15"/>
        <v>2.0468960822644875</v>
      </c>
      <c r="I112" s="1">
        <f t="shared" si="16"/>
        <v>4.0478534454070374</v>
      </c>
      <c r="J112" s="1">
        <f t="shared" si="17"/>
        <v>1.1082256743184624</v>
      </c>
      <c r="K112" s="1">
        <f t="shared" si="13"/>
        <v>2.4032256743184623</v>
      </c>
    </row>
    <row r="113" spans="5:12">
      <c r="E113">
        <v>360</v>
      </c>
      <c r="F113" s="4">
        <f t="shared" si="14"/>
        <v>4.2499999902965984</v>
      </c>
      <c r="G113" s="4"/>
      <c r="H113" s="1">
        <f t="shared" si="15"/>
        <v>2.4998157124360643</v>
      </c>
      <c r="I113" s="1">
        <f t="shared" si="16"/>
        <v>4.1054999906265142</v>
      </c>
      <c r="J113" s="1">
        <f t="shared" si="17"/>
        <v>1.5781329678866711</v>
      </c>
      <c r="K113" s="1">
        <f t="shared" si="13"/>
        <v>2.8731329678866713</v>
      </c>
    </row>
    <row r="115" spans="5:12">
      <c r="E115">
        <v>0</v>
      </c>
      <c r="F115" s="4">
        <f t="shared" ref="F115:F139" si="18">w</f>
        <v>5</v>
      </c>
      <c r="G115" s="4">
        <f>COS(E115*0.017453)*$C$14/2+$A$14+d/2</f>
        <v>3.875</v>
      </c>
      <c r="H115" s="1" t="e">
        <f>SIN(E115*0.017453)*$C$14/2+$B$14</f>
        <v>#VALUE!</v>
      </c>
      <c r="I115" s="1">
        <f>F115*0.966+G115*0.966</f>
        <v>8.5732499999999998</v>
      </c>
      <c r="J115" s="1" t="e">
        <f>-F115*0.259+G115*0.259+H115/0.966/0.966</f>
        <v>#VALUE!</v>
      </c>
      <c r="K115" s="1" t="e">
        <f t="shared" si="13"/>
        <v>#VALUE!</v>
      </c>
      <c r="L115" s="4">
        <f>G115+$Q$7</f>
        <v>14.875</v>
      </c>
    </row>
    <row r="116" spans="5:12">
      <c r="E116">
        <v>15</v>
      </c>
      <c r="F116" s="4">
        <f t="shared" si="18"/>
        <v>5</v>
      </c>
      <c r="G116" s="4">
        <f t="shared" ref="G116:G139" si="19">COS(E116*0.017453)*$C$14/2+$A$14+d/2</f>
        <v>3.875</v>
      </c>
      <c r="H116" s="1" t="e">
        <f t="shared" ref="H116:H139" si="20">SIN(E116*0.017453)*$C$14/2+$B$14</f>
        <v>#VALUE!</v>
      </c>
      <c r="I116" s="1">
        <f t="shared" ref="I116:I139" si="21">F116*0.966+G116*0.966</f>
        <v>8.5732499999999998</v>
      </c>
      <c r="J116" s="1" t="e">
        <f t="shared" ref="J116:J139" si="22">-F116*0.259+G116*0.259+H116/0.966/0.966</f>
        <v>#VALUE!</v>
      </c>
      <c r="K116" s="1" t="e">
        <f t="shared" si="13"/>
        <v>#VALUE!</v>
      </c>
      <c r="L116" s="4">
        <f t="shared" ref="L116:L139" si="23">G116+$Q$7</f>
        <v>14.875</v>
      </c>
    </row>
    <row r="117" spans="5:12">
      <c r="E117">
        <v>30</v>
      </c>
      <c r="F117" s="4">
        <f t="shared" si="18"/>
        <v>5</v>
      </c>
      <c r="G117" s="4">
        <f t="shared" si="19"/>
        <v>3.875</v>
      </c>
      <c r="H117" s="1" t="e">
        <f t="shared" si="20"/>
        <v>#VALUE!</v>
      </c>
      <c r="I117" s="1">
        <f t="shared" si="21"/>
        <v>8.5732499999999998</v>
      </c>
      <c r="J117" s="1" t="e">
        <f t="shared" si="22"/>
        <v>#VALUE!</v>
      </c>
      <c r="K117" s="1" t="e">
        <f t="shared" si="13"/>
        <v>#VALUE!</v>
      </c>
      <c r="L117" s="4">
        <f t="shared" si="23"/>
        <v>14.875</v>
      </c>
    </row>
    <row r="118" spans="5:12">
      <c r="E118">
        <v>45</v>
      </c>
      <c r="F118" s="4">
        <f t="shared" si="18"/>
        <v>5</v>
      </c>
      <c r="G118" s="4">
        <f t="shared" si="19"/>
        <v>3.875</v>
      </c>
      <c r="H118" s="1" t="e">
        <f t="shared" si="20"/>
        <v>#VALUE!</v>
      </c>
      <c r="I118" s="1">
        <f t="shared" si="21"/>
        <v>8.5732499999999998</v>
      </c>
      <c r="J118" s="1" t="e">
        <f t="shared" si="22"/>
        <v>#VALUE!</v>
      </c>
      <c r="K118" s="1" t="e">
        <f t="shared" si="13"/>
        <v>#VALUE!</v>
      </c>
      <c r="L118" s="4">
        <f t="shared" si="23"/>
        <v>14.875</v>
      </c>
    </row>
    <row r="119" spans="5:12">
      <c r="E119">
        <v>60</v>
      </c>
      <c r="F119" s="4">
        <f t="shared" si="18"/>
        <v>5</v>
      </c>
      <c r="G119" s="4">
        <f t="shared" si="19"/>
        <v>3.875</v>
      </c>
      <c r="H119" s="1" t="e">
        <f t="shared" si="20"/>
        <v>#VALUE!</v>
      </c>
      <c r="I119" s="1">
        <f t="shared" si="21"/>
        <v>8.5732499999999998</v>
      </c>
      <c r="J119" s="1" t="e">
        <f t="shared" si="22"/>
        <v>#VALUE!</v>
      </c>
      <c r="K119" s="1" t="e">
        <f t="shared" ref="K119:K139" si="24">J119-$J$21</f>
        <v>#VALUE!</v>
      </c>
      <c r="L119" s="4">
        <f t="shared" si="23"/>
        <v>14.875</v>
      </c>
    </row>
    <row r="120" spans="5:12">
      <c r="E120">
        <v>75</v>
      </c>
      <c r="F120" s="4">
        <f t="shared" si="18"/>
        <v>5</v>
      </c>
      <c r="G120" s="4">
        <f t="shared" si="19"/>
        <v>3.875</v>
      </c>
      <c r="H120" s="1" t="e">
        <f t="shared" si="20"/>
        <v>#VALUE!</v>
      </c>
      <c r="I120" s="1">
        <f t="shared" si="21"/>
        <v>8.5732499999999998</v>
      </c>
      <c r="J120" s="1" t="e">
        <f t="shared" si="22"/>
        <v>#VALUE!</v>
      </c>
      <c r="K120" s="1" t="e">
        <f t="shared" si="24"/>
        <v>#VALUE!</v>
      </c>
      <c r="L120" s="4">
        <f t="shared" si="23"/>
        <v>14.875</v>
      </c>
    </row>
    <row r="121" spans="5:12">
      <c r="E121">
        <v>90</v>
      </c>
      <c r="F121" s="4">
        <f t="shared" si="18"/>
        <v>5</v>
      </c>
      <c r="G121" s="4">
        <f t="shared" si="19"/>
        <v>3.875</v>
      </c>
      <c r="H121" s="1" t="e">
        <f t="shared" si="20"/>
        <v>#VALUE!</v>
      </c>
      <c r="I121" s="1">
        <f t="shared" si="21"/>
        <v>8.5732499999999998</v>
      </c>
      <c r="J121" s="1" t="e">
        <f t="shared" si="22"/>
        <v>#VALUE!</v>
      </c>
      <c r="K121" s="1" t="e">
        <f t="shared" si="24"/>
        <v>#VALUE!</v>
      </c>
      <c r="L121" s="4">
        <f t="shared" si="23"/>
        <v>14.875</v>
      </c>
    </row>
    <row r="122" spans="5:12">
      <c r="E122">
        <v>105</v>
      </c>
      <c r="F122" s="4">
        <f t="shared" si="18"/>
        <v>5</v>
      </c>
      <c r="G122" s="4">
        <f t="shared" si="19"/>
        <v>3.875</v>
      </c>
      <c r="H122" s="1" t="e">
        <f t="shared" si="20"/>
        <v>#VALUE!</v>
      </c>
      <c r="I122" s="1">
        <f t="shared" si="21"/>
        <v>8.5732499999999998</v>
      </c>
      <c r="J122" s="1" t="e">
        <f t="shared" si="22"/>
        <v>#VALUE!</v>
      </c>
      <c r="K122" s="1" t="e">
        <f t="shared" si="24"/>
        <v>#VALUE!</v>
      </c>
      <c r="L122" s="4">
        <f t="shared" si="23"/>
        <v>14.875</v>
      </c>
    </row>
    <row r="123" spans="5:12">
      <c r="E123">
        <v>120</v>
      </c>
      <c r="F123" s="4">
        <f t="shared" si="18"/>
        <v>5</v>
      </c>
      <c r="G123" s="4">
        <f t="shared" si="19"/>
        <v>3.875</v>
      </c>
      <c r="H123" s="1" t="e">
        <f t="shared" si="20"/>
        <v>#VALUE!</v>
      </c>
      <c r="I123" s="1">
        <f t="shared" si="21"/>
        <v>8.5732499999999998</v>
      </c>
      <c r="J123" s="1" t="e">
        <f t="shared" si="22"/>
        <v>#VALUE!</v>
      </c>
      <c r="K123" s="1" t="e">
        <f t="shared" si="24"/>
        <v>#VALUE!</v>
      </c>
      <c r="L123" s="4">
        <f t="shared" si="23"/>
        <v>14.875</v>
      </c>
    </row>
    <row r="124" spans="5:12">
      <c r="E124">
        <v>135</v>
      </c>
      <c r="F124" s="4">
        <f t="shared" si="18"/>
        <v>5</v>
      </c>
      <c r="G124" s="4">
        <f t="shared" si="19"/>
        <v>3.875</v>
      </c>
      <c r="H124" s="1" t="e">
        <f t="shared" si="20"/>
        <v>#VALUE!</v>
      </c>
      <c r="I124" s="1">
        <f t="shared" si="21"/>
        <v>8.5732499999999998</v>
      </c>
      <c r="J124" s="1" t="e">
        <f t="shared" si="22"/>
        <v>#VALUE!</v>
      </c>
      <c r="K124" s="1" t="e">
        <f t="shared" si="24"/>
        <v>#VALUE!</v>
      </c>
      <c r="L124" s="4">
        <f t="shared" si="23"/>
        <v>14.875</v>
      </c>
    </row>
    <row r="125" spans="5:12">
      <c r="E125">
        <v>150</v>
      </c>
      <c r="F125" s="4">
        <f t="shared" si="18"/>
        <v>5</v>
      </c>
      <c r="G125" s="4">
        <f t="shared" si="19"/>
        <v>3.875</v>
      </c>
      <c r="H125" s="1" t="e">
        <f t="shared" si="20"/>
        <v>#VALUE!</v>
      </c>
      <c r="I125" s="1">
        <f t="shared" si="21"/>
        <v>8.5732499999999998</v>
      </c>
      <c r="J125" s="1" t="e">
        <f t="shared" si="22"/>
        <v>#VALUE!</v>
      </c>
      <c r="K125" s="1" t="e">
        <f t="shared" si="24"/>
        <v>#VALUE!</v>
      </c>
      <c r="L125" s="4">
        <f t="shared" si="23"/>
        <v>14.875</v>
      </c>
    </row>
    <row r="126" spans="5:12">
      <c r="E126">
        <v>165</v>
      </c>
      <c r="F126" s="4">
        <f t="shared" si="18"/>
        <v>5</v>
      </c>
      <c r="G126" s="4">
        <f t="shared" si="19"/>
        <v>3.875</v>
      </c>
      <c r="H126" s="1" t="e">
        <f t="shared" si="20"/>
        <v>#VALUE!</v>
      </c>
      <c r="I126" s="1">
        <f t="shared" si="21"/>
        <v>8.5732499999999998</v>
      </c>
      <c r="J126" s="1" t="e">
        <f t="shared" si="22"/>
        <v>#VALUE!</v>
      </c>
      <c r="K126" s="1" t="e">
        <f t="shared" si="24"/>
        <v>#VALUE!</v>
      </c>
      <c r="L126" s="4">
        <f t="shared" si="23"/>
        <v>14.875</v>
      </c>
    </row>
    <row r="127" spans="5:12">
      <c r="E127">
        <v>180</v>
      </c>
      <c r="F127" s="4">
        <f t="shared" si="18"/>
        <v>5</v>
      </c>
      <c r="G127" s="4">
        <f t="shared" si="19"/>
        <v>3.875</v>
      </c>
      <c r="H127" s="1" t="e">
        <f t="shared" si="20"/>
        <v>#VALUE!</v>
      </c>
      <c r="I127" s="1">
        <f t="shared" si="21"/>
        <v>8.5732499999999998</v>
      </c>
      <c r="J127" s="1" t="e">
        <f t="shared" si="22"/>
        <v>#VALUE!</v>
      </c>
      <c r="K127" s="1" t="e">
        <f t="shared" si="24"/>
        <v>#VALUE!</v>
      </c>
      <c r="L127" s="4">
        <f t="shared" si="23"/>
        <v>14.875</v>
      </c>
    </row>
    <row r="128" spans="5:12">
      <c r="E128">
        <v>195</v>
      </c>
      <c r="F128" s="4">
        <f t="shared" si="18"/>
        <v>5</v>
      </c>
      <c r="G128" s="4">
        <f t="shared" si="19"/>
        <v>3.875</v>
      </c>
      <c r="H128" s="1" t="e">
        <f t="shared" si="20"/>
        <v>#VALUE!</v>
      </c>
      <c r="I128" s="1">
        <f t="shared" si="21"/>
        <v>8.5732499999999998</v>
      </c>
      <c r="J128" s="1" t="e">
        <f t="shared" si="22"/>
        <v>#VALUE!</v>
      </c>
      <c r="K128" s="1" t="e">
        <f t="shared" si="24"/>
        <v>#VALUE!</v>
      </c>
      <c r="L128" s="4">
        <f t="shared" si="23"/>
        <v>14.875</v>
      </c>
    </row>
    <row r="129" spans="5:12">
      <c r="E129">
        <v>210</v>
      </c>
      <c r="F129" s="4">
        <f t="shared" si="18"/>
        <v>5</v>
      </c>
      <c r="G129" s="4">
        <f t="shared" si="19"/>
        <v>3.875</v>
      </c>
      <c r="H129" s="1" t="e">
        <f t="shared" si="20"/>
        <v>#VALUE!</v>
      </c>
      <c r="I129" s="1">
        <f t="shared" si="21"/>
        <v>8.5732499999999998</v>
      </c>
      <c r="J129" s="1" t="e">
        <f t="shared" si="22"/>
        <v>#VALUE!</v>
      </c>
      <c r="K129" s="1" t="e">
        <f t="shared" si="24"/>
        <v>#VALUE!</v>
      </c>
      <c r="L129" s="4">
        <f t="shared" si="23"/>
        <v>14.875</v>
      </c>
    </row>
    <row r="130" spans="5:12">
      <c r="E130">
        <v>225</v>
      </c>
      <c r="F130" s="4">
        <f t="shared" si="18"/>
        <v>5</v>
      </c>
      <c r="G130" s="4">
        <f t="shared" si="19"/>
        <v>3.875</v>
      </c>
      <c r="H130" s="1" t="e">
        <f t="shared" si="20"/>
        <v>#VALUE!</v>
      </c>
      <c r="I130" s="1">
        <f t="shared" si="21"/>
        <v>8.5732499999999998</v>
      </c>
      <c r="J130" s="1" t="e">
        <f t="shared" si="22"/>
        <v>#VALUE!</v>
      </c>
      <c r="K130" s="1" t="e">
        <f t="shared" si="24"/>
        <v>#VALUE!</v>
      </c>
      <c r="L130" s="4">
        <f t="shared" si="23"/>
        <v>14.875</v>
      </c>
    </row>
    <row r="131" spans="5:12">
      <c r="E131">
        <v>240</v>
      </c>
      <c r="F131" s="4">
        <f t="shared" si="18"/>
        <v>5</v>
      </c>
      <c r="G131" s="4">
        <f t="shared" si="19"/>
        <v>3.875</v>
      </c>
      <c r="H131" s="1" t="e">
        <f t="shared" si="20"/>
        <v>#VALUE!</v>
      </c>
      <c r="I131" s="1">
        <f t="shared" si="21"/>
        <v>8.5732499999999998</v>
      </c>
      <c r="J131" s="1" t="e">
        <f t="shared" si="22"/>
        <v>#VALUE!</v>
      </c>
      <c r="K131" s="1" t="e">
        <f t="shared" si="24"/>
        <v>#VALUE!</v>
      </c>
      <c r="L131" s="4">
        <f t="shared" si="23"/>
        <v>14.875</v>
      </c>
    </row>
    <row r="132" spans="5:12">
      <c r="E132">
        <v>255</v>
      </c>
      <c r="F132" s="4">
        <f t="shared" si="18"/>
        <v>5</v>
      </c>
      <c r="G132" s="4">
        <f t="shared" si="19"/>
        <v>3.875</v>
      </c>
      <c r="H132" s="1" t="e">
        <f t="shared" si="20"/>
        <v>#VALUE!</v>
      </c>
      <c r="I132" s="1">
        <f t="shared" si="21"/>
        <v>8.5732499999999998</v>
      </c>
      <c r="J132" s="1" t="e">
        <f t="shared" si="22"/>
        <v>#VALUE!</v>
      </c>
      <c r="K132" s="1" t="e">
        <f t="shared" si="24"/>
        <v>#VALUE!</v>
      </c>
      <c r="L132" s="4">
        <f t="shared" si="23"/>
        <v>14.875</v>
      </c>
    </row>
    <row r="133" spans="5:12">
      <c r="E133">
        <v>270</v>
      </c>
      <c r="F133" s="4">
        <f t="shared" si="18"/>
        <v>5</v>
      </c>
      <c r="G133" s="4">
        <f t="shared" si="19"/>
        <v>3.875</v>
      </c>
      <c r="H133" s="1" t="e">
        <f t="shared" si="20"/>
        <v>#VALUE!</v>
      </c>
      <c r="I133" s="1">
        <f t="shared" si="21"/>
        <v>8.5732499999999998</v>
      </c>
      <c r="J133" s="1" t="e">
        <f t="shared" si="22"/>
        <v>#VALUE!</v>
      </c>
      <c r="K133" s="1" t="e">
        <f t="shared" si="24"/>
        <v>#VALUE!</v>
      </c>
      <c r="L133" s="4">
        <f t="shared" si="23"/>
        <v>14.875</v>
      </c>
    </row>
    <row r="134" spans="5:12">
      <c r="E134">
        <v>285</v>
      </c>
      <c r="F134" s="4">
        <f t="shared" si="18"/>
        <v>5</v>
      </c>
      <c r="G134" s="4">
        <f t="shared" si="19"/>
        <v>3.875</v>
      </c>
      <c r="H134" s="1" t="e">
        <f t="shared" si="20"/>
        <v>#VALUE!</v>
      </c>
      <c r="I134" s="1">
        <f t="shared" si="21"/>
        <v>8.5732499999999998</v>
      </c>
      <c r="J134" s="1" t="e">
        <f t="shared" si="22"/>
        <v>#VALUE!</v>
      </c>
      <c r="K134" s="1" t="e">
        <f t="shared" si="24"/>
        <v>#VALUE!</v>
      </c>
      <c r="L134" s="4">
        <f t="shared" si="23"/>
        <v>14.875</v>
      </c>
    </row>
    <row r="135" spans="5:12">
      <c r="E135">
        <v>300</v>
      </c>
      <c r="F135" s="4">
        <f t="shared" si="18"/>
        <v>5</v>
      </c>
      <c r="G135" s="4">
        <f t="shared" si="19"/>
        <v>3.875</v>
      </c>
      <c r="H135" s="1" t="e">
        <f t="shared" si="20"/>
        <v>#VALUE!</v>
      </c>
      <c r="I135" s="1">
        <f t="shared" si="21"/>
        <v>8.5732499999999998</v>
      </c>
      <c r="J135" s="1" t="e">
        <f t="shared" si="22"/>
        <v>#VALUE!</v>
      </c>
      <c r="K135" s="1" t="e">
        <f t="shared" si="24"/>
        <v>#VALUE!</v>
      </c>
      <c r="L135" s="4">
        <f t="shared" si="23"/>
        <v>14.875</v>
      </c>
    </row>
    <row r="136" spans="5:12">
      <c r="E136">
        <v>315</v>
      </c>
      <c r="F136" s="4">
        <f t="shared" si="18"/>
        <v>5</v>
      </c>
      <c r="G136" s="4">
        <f t="shared" si="19"/>
        <v>3.875</v>
      </c>
      <c r="H136" s="1" t="e">
        <f t="shared" si="20"/>
        <v>#VALUE!</v>
      </c>
      <c r="I136" s="1">
        <f t="shared" si="21"/>
        <v>8.5732499999999998</v>
      </c>
      <c r="J136" s="1" t="e">
        <f t="shared" si="22"/>
        <v>#VALUE!</v>
      </c>
      <c r="K136" s="1" t="e">
        <f t="shared" si="24"/>
        <v>#VALUE!</v>
      </c>
      <c r="L136" s="4">
        <f t="shared" si="23"/>
        <v>14.875</v>
      </c>
    </row>
    <row r="137" spans="5:12">
      <c r="E137">
        <v>330</v>
      </c>
      <c r="F137" s="4">
        <f t="shared" si="18"/>
        <v>5</v>
      </c>
      <c r="G137" s="4">
        <f t="shared" si="19"/>
        <v>3.875</v>
      </c>
      <c r="H137" s="1" t="e">
        <f t="shared" si="20"/>
        <v>#VALUE!</v>
      </c>
      <c r="I137" s="1">
        <f t="shared" si="21"/>
        <v>8.5732499999999998</v>
      </c>
      <c r="J137" s="1" t="e">
        <f t="shared" si="22"/>
        <v>#VALUE!</v>
      </c>
      <c r="K137" s="1" t="e">
        <f t="shared" si="24"/>
        <v>#VALUE!</v>
      </c>
      <c r="L137" s="4">
        <f t="shared" si="23"/>
        <v>14.875</v>
      </c>
    </row>
    <row r="138" spans="5:12">
      <c r="E138">
        <v>345</v>
      </c>
      <c r="F138" s="4">
        <f t="shared" si="18"/>
        <v>5</v>
      </c>
      <c r="G138" s="4">
        <f t="shared" si="19"/>
        <v>3.875</v>
      </c>
      <c r="H138" s="1" t="e">
        <f t="shared" si="20"/>
        <v>#VALUE!</v>
      </c>
      <c r="I138" s="1">
        <f t="shared" si="21"/>
        <v>8.5732499999999998</v>
      </c>
      <c r="J138" s="1" t="e">
        <f t="shared" si="22"/>
        <v>#VALUE!</v>
      </c>
      <c r="K138" s="1" t="e">
        <f t="shared" si="24"/>
        <v>#VALUE!</v>
      </c>
      <c r="L138" s="4">
        <f t="shared" si="23"/>
        <v>14.875</v>
      </c>
    </row>
    <row r="139" spans="5:12">
      <c r="E139">
        <v>360</v>
      </c>
      <c r="F139" s="4">
        <f t="shared" si="18"/>
        <v>5</v>
      </c>
      <c r="G139" s="4">
        <f t="shared" si="19"/>
        <v>3.875</v>
      </c>
      <c r="H139" s="1" t="e">
        <f t="shared" si="20"/>
        <v>#VALUE!</v>
      </c>
      <c r="I139" s="1">
        <f t="shared" si="21"/>
        <v>8.5732499999999998</v>
      </c>
      <c r="J139" s="1" t="e">
        <f t="shared" si="22"/>
        <v>#VALUE!</v>
      </c>
      <c r="K139" s="1" t="e">
        <f t="shared" si="24"/>
        <v>#VALUE!</v>
      </c>
      <c r="L139" s="4">
        <f t="shared" si="23"/>
        <v>14.875</v>
      </c>
    </row>
    <row r="147" spans="1:10">
      <c r="A147" t="s">
        <v>204</v>
      </c>
    </row>
    <row r="148" spans="1:10">
      <c r="A148" s="298" t="s">
        <v>171</v>
      </c>
      <c r="B148" s="298"/>
      <c r="C148" s="298"/>
      <c r="D148" s="298"/>
      <c r="E148" s="298"/>
      <c r="F148" s="298"/>
      <c r="G148" s="298"/>
      <c r="H148" s="298"/>
      <c r="I148" s="298"/>
    </row>
    <row r="149" spans="1:10">
      <c r="A149" s="298" t="s">
        <v>172</v>
      </c>
      <c r="B149" s="298"/>
      <c r="C149" s="298"/>
      <c r="D149" s="298"/>
      <c r="E149" s="298"/>
      <c r="F149" s="298"/>
      <c r="G149" s="298"/>
      <c r="H149" s="298"/>
      <c r="I149" s="298"/>
    </row>
    <row r="150" spans="1:10">
      <c r="A150" s="298"/>
      <c r="B150" s="298"/>
      <c r="C150" s="298"/>
      <c r="D150" s="298"/>
      <c r="E150" s="298"/>
      <c r="F150" s="298"/>
      <c r="G150" s="298"/>
      <c r="H150" s="298"/>
      <c r="I150" s="298"/>
    </row>
    <row r="151" spans="1:10">
      <c r="A151" s="298"/>
      <c r="B151" s="298" t="s">
        <v>173</v>
      </c>
      <c r="C151" s="298"/>
      <c r="D151" s="298"/>
      <c r="E151" s="298" t="s">
        <v>174</v>
      </c>
      <c r="F151" s="298"/>
      <c r="G151" s="298"/>
      <c r="H151" s="298"/>
      <c r="I151" s="298"/>
    </row>
    <row r="152" spans="1:10">
      <c r="A152" s="298"/>
      <c r="B152" s="298"/>
      <c r="C152" s="298"/>
      <c r="D152" s="298"/>
      <c r="E152" s="298"/>
      <c r="F152" s="298"/>
      <c r="G152" s="298"/>
      <c r="H152" s="298" t="s">
        <v>57</v>
      </c>
      <c r="I152" s="298"/>
    </row>
    <row r="153" spans="1:10">
      <c r="A153" s="298" t="s">
        <v>175</v>
      </c>
      <c r="B153" s="302">
        <f>+Main!G18</f>
        <v>7.5</v>
      </c>
      <c r="C153" s="298" t="s">
        <v>176</v>
      </c>
      <c r="D153" s="298"/>
      <c r="E153" s="302">
        <f>B153*25.4</f>
        <v>190.5</v>
      </c>
      <c r="F153" s="298" t="s">
        <v>177</v>
      </c>
      <c r="G153" s="298"/>
      <c r="H153" s="298"/>
      <c r="I153" s="298"/>
    </row>
    <row r="154" spans="1:10">
      <c r="A154" s="298" t="s">
        <v>178</v>
      </c>
      <c r="B154" s="302">
        <f>+Main!N20</f>
        <v>96</v>
      </c>
      <c r="C154" s="298" t="s">
        <v>176</v>
      </c>
      <c r="D154" s="298"/>
      <c r="E154" s="302">
        <f>B154*25.4</f>
        <v>2438.3999999999996</v>
      </c>
      <c r="F154" s="298" t="s">
        <v>177</v>
      </c>
      <c r="G154" s="298"/>
      <c r="H154" s="298">
        <f>+B154/12</f>
        <v>8</v>
      </c>
      <c r="I154" s="298"/>
    </row>
    <row r="155" spans="1:10">
      <c r="A155" s="298" t="s">
        <v>179</v>
      </c>
      <c r="B155" s="302">
        <f>+Main!G19</f>
        <v>5</v>
      </c>
      <c r="C155" s="298" t="s">
        <v>176</v>
      </c>
      <c r="D155" s="298"/>
      <c r="E155" s="302">
        <f>B155*25.4</f>
        <v>127</v>
      </c>
      <c r="F155" s="298" t="s">
        <v>177</v>
      </c>
      <c r="G155" s="298"/>
      <c r="H155" s="298"/>
      <c r="I155" s="298"/>
    </row>
    <row r="156" spans="1:10">
      <c r="A156" s="298" t="s">
        <v>180</v>
      </c>
      <c r="B156" s="302">
        <f>+Main!G20</f>
        <v>2.5</v>
      </c>
      <c r="C156" s="298" t="s">
        <v>176</v>
      </c>
      <c r="D156" s="298"/>
      <c r="E156" s="302">
        <f>B156*25.4</f>
        <v>63.5</v>
      </c>
      <c r="F156" s="298" t="s">
        <v>177</v>
      </c>
      <c r="G156" s="298"/>
      <c r="H156" s="298"/>
      <c r="I156" s="298"/>
    </row>
    <row r="157" spans="1:10">
      <c r="A157" t="s">
        <v>195</v>
      </c>
      <c r="B157" s="303">
        <v>1</v>
      </c>
      <c r="C157" t="s">
        <v>176</v>
      </c>
      <c r="E157" s="304">
        <f>B157*25.4</f>
        <v>25.4</v>
      </c>
      <c r="F157" t="s">
        <v>177</v>
      </c>
      <c r="G157" s="298"/>
      <c r="H157" s="298"/>
      <c r="I157" s="298"/>
    </row>
    <row r="158" spans="1:10">
      <c r="A158" s="298" t="s">
        <v>181</v>
      </c>
      <c r="B158" s="298"/>
      <c r="C158" s="298"/>
      <c r="D158" s="301">
        <f>0.5*344300/D170</f>
        <v>8713.362230099623</v>
      </c>
      <c r="E158" s="298" t="s">
        <v>182</v>
      </c>
      <c r="F158" s="298"/>
      <c r="J158" s="307"/>
    </row>
    <row r="159" spans="1:10">
      <c r="A159" s="298" t="s">
        <v>183</v>
      </c>
      <c r="B159" s="298"/>
      <c r="C159" s="298"/>
      <c r="D159" s="301">
        <f>0.5*344300/B170</f>
        <v>17589.381702193066</v>
      </c>
      <c r="E159" s="298" t="s">
        <v>182</v>
      </c>
      <c r="F159" s="298"/>
      <c r="J159" s="307"/>
    </row>
    <row r="160" spans="1:10">
      <c r="A160" s="298" t="s">
        <v>184</v>
      </c>
      <c r="B160" s="298"/>
      <c r="C160" s="298"/>
      <c r="D160" s="301">
        <f>SQRT(D159*D158)</f>
        <v>12379.929489891874</v>
      </c>
      <c r="E160" s="298" t="s">
        <v>182</v>
      </c>
      <c r="F160" s="298"/>
      <c r="J160" s="307"/>
    </row>
    <row r="161" spans="1:10">
      <c r="A161" s="298"/>
      <c r="B161" s="298"/>
      <c r="C161" s="298"/>
      <c r="D161" s="298"/>
      <c r="E161" s="298"/>
      <c r="F161" s="298"/>
      <c r="G161" s="298"/>
      <c r="H161" s="298"/>
      <c r="I161" s="298"/>
    </row>
    <row r="162" spans="1:10">
      <c r="A162" s="298" t="s">
        <v>185</v>
      </c>
      <c r="B162" s="298"/>
      <c r="C162" s="298"/>
      <c r="D162" s="298"/>
      <c r="E162" s="298"/>
      <c r="F162" s="298"/>
      <c r="G162" s="298"/>
      <c r="H162" s="298"/>
      <c r="I162" s="298"/>
    </row>
    <row r="163" spans="1:10">
      <c r="A163" s="298"/>
      <c r="B163" s="298"/>
      <c r="C163" s="298"/>
      <c r="D163" s="298"/>
      <c r="E163" s="298"/>
      <c r="F163" s="298"/>
      <c r="G163" s="298"/>
      <c r="H163" s="298"/>
      <c r="I163" s="298"/>
    </row>
    <row r="164" spans="1:10">
      <c r="A164" t="s">
        <v>186</v>
      </c>
      <c r="B164" s="305">
        <f>E153/E156</f>
        <v>3</v>
      </c>
      <c r="D164" s="305">
        <f>E153/E155</f>
        <v>1.5</v>
      </c>
      <c r="F164" s="298"/>
      <c r="H164" s="305"/>
      <c r="J164" s="305"/>
    </row>
    <row r="165" spans="1:10">
      <c r="A165" t="s">
        <v>187</v>
      </c>
      <c r="B165" s="305">
        <f>B164*(E154+E157)/(B164+1)</f>
        <v>1847.85</v>
      </c>
      <c r="C165" t="s">
        <v>177</v>
      </c>
      <c r="D165" s="305">
        <f>D164*E154/(D164+1)</f>
        <v>1463.0399999999997</v>
      </c>
      <c r="E165" t="s">
        <v>177</v>
      </c>
      <c r="F165" s="298"/>
      <c r="H165" s="305"/>
      <c r="J165" s="305"/>
    </row>
    <row r="166" spans="1:10">
      <c r="A166" t="s">
        <v>188</v>
      </c>
      <c r="B166" s="305">
        <f>SQRT(E153^2+B165^2)</f>
        <v>1857.6436344196914</v>
      </c>
      <c r="C166" t="s">
        <v>177</v>
      </c>
      <c r="D166" s="305">
        <f>SQRT(E153^2+D165^2)</f>
        <v>1475.3902167223421</v>
      </c>
      <c r="E166" t="s">
        <v>177</v>
      </c>
      <c r="F166" s="298"/>
      <c r="H166" s="305"/>
      <c r="J166" s="305"/>
    </row>
    <row r="167" spans="1:10">
      <c r="A167" t="s">
        <v>189</v>
      </c>
      <c r="B167" s="305">
        <f>E154+E157-B165</f>
        <v>615.94999999999982</v>
      </c>
      <c r="C167" t="s">
        <v>177</v>
      </c>
      <c r="D167" s="305">
        <f>E154-D165</f>
        <v>975.3599999999999</v>
      </c>
      <c r="E167" t="s">
        <v>177</v>
      </c>
      <c r="F167" s="298"/>
      <c r="H167" s="305"/>
      <c r="J167" s="305"/>
    </row>
    <row r="168" spans="1:10">
      <c r="A168" t="s">
        <v>190</v>
      </c>
      <c r="B168" s="305">
        <f>SQRT(E156^2+B167^2)</f>
        <v>619.21454480656359</v>
      </c>
      <c r="C168" t="s">
        <v>177</v>
      </c>
      <c r="D168" s="305">
        <f>SQRT(E155^2+D167^2)</f>
        <v>983.59347781489475</v>
      </c>
      <c r="E168" t="s">
        <v>177</v>
      </c>
      <c r="F168" s="298"/>
      <c r="H168" s="305"/>
      <c r="J168" s="305"/>
    </row>
    <row r="169" spans="1:10">
      <c r="A169" t="s">
        <v>191</v>
      </c>
      <c r="B169" s="305">
        <f>SQRT((E153-E156)^2+(E154+E157)^2)</f>
        <v>2467.0710245146975</v>
      </c>
      <c r="C169" t="s">
        <v>177</v>
      </c>
      <c r="D169" s="305">
        <f>SQRT((E153-E155)^2+E154^2)</f>
        <v>2439.2266827828853</v>
      </c>
      <c r="E169" t="s">
        <v>177</v>
      </c>
      <c r="F169" s="298"/>
      <c r="H169" s="305"/>
      <c r="J169" s="305"/>
    </row>
    <row r="170" spans="1:10">
      <c r="A170" t="s">
        <v>192</v>
      </c>
      <c r="B170" s="305">
        <f>B168+B166-B169</f>
        <v>9.7871547115573776</v>
      </c>
      <c r="C170" t="s">
        <v>177</v>
      </c>
      <c r="D170" s="305">
        <f>D168+D166-D169</f>
        <v>19.757011754351424</v>
      </c>
      <c r="E170" t="s">
        <v>177</v>
      </c>
      <c r="F170" s="298"/>
      <c r="H170" s="305"/>
      <c r="J170" s="305"/>
    </row>
    <row r="171" spans="1:10">
      <c r="F171" s="298"/>
    </row>
    <row r="172" spans="1:10">
      <c r="A172" s="298"/>
      <c r="B172" s="298"/>
      <c r="C172" s="298"/>
      <c r="D172" s="298"/>
      <c r="E172" s="298"/>
      <c r="F172" s="298"/>
      <c r="G172" s="298"/>
      <c r="H172" s="298"/>
      <c r="I172" s="298"/>
    </row>
    <row r="173" spans="1:10">
      <c r="A173" s="298"/>
      <c r="B173" s="298"/>
      <c r="C173" s="298"/>
      <c r="D173" s="298"/>
      <c r="E173" s="298"/>
      <c r="F173" s="298"/>
      <c r="G173" s="298"/>
      <c r="H173" s="298"/>
      <c r="I173" s="298"/>
    </row>
    <row r="174" spans="1:10">
      <c r="A174" s="298"/>
      <c r="B174" s="299"/>
      <c r="C174" s="298"/>
      <c r="D174" s="299"/>
      <c r="E174" s="298"/>
      <c r="F174" s="298"/>
      <c r="G174" s="298"/>
    </row>
    <row r="175" spans="1:10">
      <c r="A175" s="298"/>
      <c r="B175" s="299"/>
      <c r="C175" s="298"/>
      <c r="D175" s="299"/>
      <c r="E175" s="298"/>
      <c r="F175" s="298"/>
      <c r="G175" s="298"/>
    </row>
    <row r="176" spans="1:10">
      <c r="A176" s="298"/>
      <c r="B176" s="300"/>
      <c r="C176" s="298"/>
      <c r="D176" s="298"/>
      <c r="E176" s="298"/>
      <c r="F176" s="298"/>
      <c r="G176" s="298"/>
    </row>
  </sheetData>
  <sheetProtection sheet="1" objects="1" scenarios="1"/>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Main</vt:lpstr>
      <vt:lpstr>Conversion tools</vt:lpstr>
      <vt:lpstr>Floor Bounce Effects</vt:lpstr>
      <vt:lpstr>Common filter rates</vt:lpstr>
      <vt:lpstr>Woofer volume</vt:lpstr>
      <vt:lpstr>Notes</vt:lpstr>
      <vt:lpstr>c</vt:lpstr>
      <vt:lpstr>bt</vt:lpstr>
      <vt:lpstr>d</vt:lpstr>
      <vt:lpstr>ft</vt:lpstr>
      <vt:lpstr>h</vt:lpstr>
      <vt:lpstr>Main!Print_Area</vt:lpstr>
      <vt:lpstr>rt</vt:lpstr>
      <vt:lpstr>SoS</vt:lpstr>
      <vt:lpstr>st</vt:lpstr>
      <vt:lpstr>tt</vt:lpstr>
      <vt:lpstr>w</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Gimpy</dc:creator>
  <cp:lastModifiedBy>Gimpy</cp:lastModifiedBy>
  <cp:lastPrinted>2006-06-21T13:58:21Z</cp:lastPrinted>
  <dcterms:created xsi:type="dcterms:W3CDTF">2003-11-15T02:55:42Z</dcterms:created>
  <dcterms:modified xsi:type="dcterms:W3CDTF">2015-06-21T22:58:10Z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-1417816995</vt:i4>
  </property>
  <property fmtid="{D5CDD505-2E9C-101B-9397-08002B2CF9AE}" pid="3" name="_EmailSubject">
    <vt:lpwstr>boxy, again!</vt:lpwstr>
  </property>
  <property fmtid="{D5CDD505-2E9C-101B-9397-08002B2CF9AE}" pid="4" name="_AuthorEmail">
    <vt:lpwstr>Peter.J.Smith@usps.gov</vt:lpwstr>
  </property>
  <property fmtid="{D5CDD505-2E9C-101B-9397-08002B2CF9AE}" pid="5" name="_AuthorEmailDisplayName">
    <vt:lpwstr>Smith, Peter J - Washington, DC - Contractor</vt:lpwstr>
  </property>
  <property fmtid="{D5CDD505-2E9C-101B-9397-08002B2CF9AE}" pid="6" name="_ReviewingToolsShownOnce">
    <vt:lpwstr/>
  </property>
</Properties>
</file>